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bookViews>
    <workbookView xWindow="480" yWindow="285" windowWidth="20730" windowHeight="9795"/>
  </bookViews>
  <sheets>
    <sheet name="Calculations" sheetId="1" r:id="rId1"/>
    <sheet name="landen trasform" sheetId="4" r:id="rId2"/>
    <sheet name="SNC" sheetId="6" r:id="rId3"/>
  </sheets>
  <definedNames>
    <definedName name="AB">Calculations!$O$7</definedName>
    <definedName name="AD">Calculations!$O$5</definedName>
    <definedName name="Aktina">Calculations!$B$4</definedName>
    <definedName name="aktinakamp">Calculations!$V$11</definedName>
    <definedName name="ARXIKI">Calculations!$AU$2</definedName>
    <definedName name="arxikiGon">Calculations!$C$11</definedName>
    <definedName name="cyclicPerid">Calculations!$D$11</definedName>
    <definedName name="DGON">Calculations!$AU$3</definedName>
    <definedName name="dt">Calculations!$B$9</definedName>
    <definedName name="elaxisto">Calculations!$K$2</definedName>
    <definedName name="g">Calculations!$B$6</definedName>
    <definedName name="GoNiaEF">Calculations!$F$14</definedName>
    <definedName name="GonTax">Calculations!$B$3</definedName>
    <definedName name="Length">Calculations!$B$8</definedName>
    <definedName name="M">SNC!$N$3</definedName>
    <definedName name="mass">Calculations!$B$7</definedName>
    <definedName name="megistox">Calculations!$K$1</definedName>
    <definedName name="MhkOsN">Calculations!$C$6</definedName>
    <definedName name="mm">SNC!$N$4</definedName>
    <definedName name="Platoskinishs">Calculations!$S$1</definedName>
    <definedName name="R_KAMP">Calculations!$C$28</definedName>
    <definedName name="Taxtyths">Calculations!$B$2</definedName>
    <definedName name="Tperiod">Calculations!$B$10</definedName>
    <definedName name="u">SNC!$N$2</definedName>
    <definedName name="vimaex">Calculations!$Y$2</definedName>
    <definedName name="xc">Calculations!$U$2</definedName>
    <definedName name="xkathetos">Calculations!$B$5</definedName>
    <definedName name="Yarxiko">Calculations!$F$22</definedName>
    <definedName name="yc">Calculations!$V$2</definedName>
  </definedNames>
  <calcPr calcId="145621"/>
</workbook>
</file>

<file path=xl/calcChain.xml><?xml version="1.0" encoding="utf-8"?>
<calcChain xmlns="http://schemas.openxmlformats.org/spreadsheetml/2006/main">
  <c r="AV6" i="1" l="1"/>
  <c r="AV5" i="1"/>
  <c r="AV7" i="1" l="1"/>
  <c r="Q20" i="4"/>
  <c r="Q21" i="4" s="1"/>
  <c r="O21" i="4" s="1"/>
  <c r="P22" i="4" s="1"/>
  <c r="O22" i="4" s="1"/>
  <c r="P23" i="4" s="1"/>
  <c r="O23" i="4" s="1"/>
  <c r="S20" i="4"/>
  <c r="O20" i="4"/>
  <c r="J20" i="4" s="1"/>
  <c r="I20" i="4"/>
  <c r="O17" i="4"/>
  <c r="Q17" i="4" s="1"/>
  <c r="L22" i="4"/>
  <c r="L23" i="4" s="1"/>
  <c r="L24" i="4" s="1"/>
  <c r="L25" i="4" s="1"/>
  <c r="L26" i="4" s="1"/>
  <c r="L27" i="4" s="1"/>
  <c r="L28" i="4" s="1"/>
  <c r="L29" i="4" s="1"/>
  <c r="AV8" i="1" l="1"/>
  <c r="P21" i="4"/>
  <c r="P24" i="4"/>
  <c r="O24" i="4" s="1"/>
  <c r="M20" i="4"/>
  <c r="T70" i="1"/>
  <c r="T69" i="1"/>
  <c r="X60" i="1"/>
  <c r="W60" i="1"/>
  <c r="W61" i="1" s="1"/>
  <c r="H26" i="1"/>
  <c r="AV9" i="1" l="1"/>
  <c r="P25" i="4"/>
  <c r="O25" i="4" s="1"/>
  <c r="F25" i="1"/>
  <c r="I26" i="1" s="1"/>
  <c r="AV10" i="1" l="1"/>
  <c r="P26" i="4"/>
  <c r="O26" i="4" s="1"/>
  <c r="M7" i="1"/>
  <c r="L7" i="1"/>
  <c r="D12" i="1"/>
  <c r="AS3" i="1"/>
  <c r="AO7" i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AO44" i="1" s="1"/>
  <c r="AO45" i="1" s="1"/>
  <c r="AO46" i="1" s="1"/>
  <c r="AO47" i="1" s="1"/>
  <c r="AO48" i="1" s="1"/>
  <c r="AO49" i="1" s="1"/>
  <c r="AO50" i="1" s="1"/>
  <c r="AO51" i="1" s="1"/>
  <c r="AO52" i="1" s="1"/>
  <c r="AO53" i="1" s="1"/>
  <c r="AO54" i="1" s="1"/>
  <c r="AO55" i="1" s="1"/>
  <c r="AO56" i="1" s="1"/>
  <c r="AO57" i="1" s="1"/>
  <c r="AO58" i="1" s="1"/>
  <c r="AO59" i="1" s="1"/>
  <c r="AO60" i="1" s="1"/>
  <c r="AO61" i="1" s="1"/>
  <c r="AO62" i="1" s="1"/>
  <c r="AO63" i="1" s="1"/>
  <c r="AO64" i="1" s="1"/>
  <c r="AO65" i="1" s="1"/>
  <c r="AO66" i="1" s="1"/>
  <c r="AO67" i="1" s="1"/>
  <c r="AO68" i="1" s="1"/>
  <c r="AO69" i="1" s="1"/>
  <c r="AO70" i="1" s="1"/>
  <c r="AO71" i="1" s="1"/>
  <c r="AO72" i="1" s="1"/>
  <c r="AO73" i="1" s="1"/>
  <c r="AO74" i="1" s="1"/>
  <c r="AO75" i="1" s="1"/>
  <c r="AO76" i="1" s="1"/>
  <c r="AO77" i="1" s="1"/>
  <c r="AO78" i="1" s="1"/>
  <c r="AO79" i="1" s="1"/>
  <c r="AO80" i="1" s="1"/>
  <c r="AO81" i="1" s="1"/>
  <c r="AO82" i="1" s="1"/>
  <c r="AO83" i="1" s="1"/>
  <c r="AO84" i="1" s="1"/>
  <c r="AO85" i="1" s="1"/>
  <c r="AO86" i="1" s="1"/>
  <c r="AO87" i="1" s="1"/>
  <c r="AO88" i="1" s="1"/>
  <c r="AO89" i="1" s="1"/>
  <c r="AO90" i="1" s="1"/>
  <c r="AO91" i="1" s="1"/>
  <c r="AO92" i="1" s="1"/>
  <c r="AO93" i="1" s="1"/>
  <c r="AO94" i="1" s="1"/>
  <c r="AO95" i="1" s="1"/>
  <c r="AO96" i="1" s="1"/>
  <c r="AO97" i="1" s="1"/>
  <c r="AO6" i="1"/>
  <c r="AO5" i="1"/>
  <c r="AD3" i="1"/>
  <c r="AV11" i="1" l="1"/>
  <c r="P27" i="4"/>
  <c r="O27" i="4" s="1"/>
  <c r="AO98" i="1"/>
  <c r="AO99" i="1" s="1"/>
  <c r="AO100" i="1" s="1"/>
  <c r="AO101" i="1" s="1"/>
  <c r="AO102" i="1" s="1"/>
  <c r="AO103" i="1" s="1"/>
  <c r="AO104" i="1" s="1"/>
  <c r="AO105" i="1" s="1"/>
  <c r="N6" i="6"/>
  <c r="M7" i="6"/>
  <c r="AV12" i="1" l="1"/>
  <c r="P28" i="4"/>
  <c r="O28" i="4" s="1"/>
  <c r="M8" i="6"/>
  <c r="AJ4" i="1"/>
  <c r="B8" i="1"/>
  <c r="AV13" i="1" l="1"/>
  <c r="AQ103" i="1"/>
  <c r="AQ95" i="1"/>
  <c r="AQ87" i="1"/>
  <c r="AQ79" i="1"/>
  <c r="AQ71" i="1"/>
  <c r="AQ63" i="1"/>
  <c r="AQ55" i="1"/>
  <c r="AQ47" i="1"/>
  <c r="AQ39" i="1"/>
  <c r="AQ31" i="1"/>
  <c r="AQ23" i="1"/>
  <c r="AQ15" i="1"/>
  <c r="AQ7" i="1"/>
  <c r="AP98" i="1"/>
  <c r="AP90" i="1"/>
  <c r="AP82" i="1"/>
  <c r="AP74" i="1"/>
  <c r="AP66" i="1"/>
  <c r="AP58" i="1"/>
  <c r="AP50" i="1"/>
  <c r="AP42" i="1"/>
  <c r="AP34" i="1"/>
  <c r="AP26" i="1"/>
  <c r="AP18" i="1"/>
  <c r="AP10" i="1"/>
  <c r="AQ102" i="1"/>
  <c r="AQ94" i="1"/>
  <c r="AQ78" i="1"/>
  <c r="AQ62" i="1"/>
  <c r="AQ46" i="1"/>
  <c r="AQ30" i="1"/>
  <c r="AQ14" i="1"/>
  <c r="AP97" i="1"/>
  <c r="AP81" i="1"/>
  <c r="AP65" i="1"/>
  <c r="AP49" i="1"/>
  <c r="AP33" i="1"/>
  <c r="AP17" i="1"/>
  <c r="AQ93" i="1"/>
  <c r="AQ77" i="1"/>
  <c r="AQ61" i="1"/>
  <c r="AQ45" i="1"/>
  <c r="AQ29" i="1"/>
  <c r="AQ13" i="1"/>
  <c r="AP96" i="1"/>
  <c r="AP80" i="1"/>
  <c r="AP64" i="1"/>
  <c r="AP48" i="1"/>
  <c r="AP32" i="1"/>
  <c r="AP16" i="1"/>
  <c r="AQ92" i="1"/>
  <c r="AQ68" i="1"/>
  <c r="AQ36" i="1"/>
  <c r="AP103" i="1"/>
  <c r="AP71" i="1"/>
  <c r="AP39" i="1"/>
  <c r="AP7" i="1"/>
  <c r="AQ99" i="1"/>
  <c r="AQ91" i="1"/>
  <c r="AQ83" i="1"/>
  <c r="AQ75" i="1"/>
  <c r="AQ67" i="1"/>
  <c r="AQ59" i="1"/>
  <c r="AQ51" i="1"/>
  <c r="AQ43" i="1"/>
  <c r="AQ35" i="1"/>
  <c r="AQ27" i="1"/>
  <c r="AQ19" i="1"/>
  <c r="AQ11" i="1"/>
  <c r="AP102" i="1"/>
  <c r="AP94" i="1"/>
  <c r="AP86" i="1"/>
  <c r="AP78" i="1"/>
  <c r="AP70" i="1"/>
  <c r="AP62" i="1"/>
  <c r="AP54" i="1"/>
  <c r="AP46" i="1"/>
  <c r="AP38" i="1"/>
  <c r="AP30" i="1"/>
  <c r="AP22" i="1"/>
  <c r="AP14" i="1"/>
  <c r="AP6" i="1"/>
  <c r="AQ5" i="1"/>
  <c r="AQ58" i="1"/>
  <c r="AQ42" i="1"/>
  <c r="AQ26" i="1"/>
  <c r="AQ10" i="1"/>
  <c r="AP101" i="1"/>
  <c r="AP85" i="1"/>
  <c r="AP69" i="1"/>
  <c r="AP53" i="1"/>
  <c r="AP45" i="1"/>
  <c r="AP29" i="1"/>
  <c r="AP13" i="1"/>
  <c r="AQ97" i="1"/>
  <c r="AQ89" i="1"/>
  <c r="AQ73" i="1"/>
  <c r="AQ57" i="1"/>
  <c r="AQ41" i="1"/>
  <c r="AQ25" i="1"/>
  <c r="AQ9" i="1"/>
  <c r="AP92" i="1"/>
  <c r="AP84" i="1"/>
  <c r="AP68" i="1"/>
  <c r="AP52" i="1"/>
  <c r="AP36" i="1"/>
  <c r="AP20" i="1"/>
  <c r="AQ100" i="1"/>
  <c r="AQ84" i="1"/>
  <c r="AQ52" i="1"/>
  <c r="AQ28" i="1"/>
  <c r="AP95" i="1"/>
  <c r="AP63" i="1"/>
  <c r="AP31" i="1"/>
  <c r="AQ6" i="1"/>
  <c r="AQ98" i="1"/>
  <c r="AQ90" i="1"/>
  <c r="AQ82" i="1"/>
  <c r="AQ74" i="1"/>
  <c r="AQ66" i="1"/>
  <c r="AQ50" i="1"/>
  <c r="AQ34" i="1"/>
  <c r="AQ18" i="1"/>
  <c r="AP93" i="1"/>
  <c r="AP77" i="1"/>
  <c r="AP61" i="1"/>
  <c r="AP37" i="1"/>
  <c r="AP21" i="1"/>
  <c r="AP5" i="1"/>
  <c r="AQ105" i="1"/>
  <c r="AQ81" i="1"/>
  <c r="AQ65" i="1"/>
  <c r="AQ49" i="1"/>
  <c r="AQ33" i="1"/>
  <c r="AQ17" i="1"/>
  <c r="AP100" i="1"/>
  <c r="AP76" i="1"/>
  <c r="AP60" i="1"/>
  <c r="AP44" i="1"/>
  <c r="AP28" i="1"/>
  <c r="AP12" i="1"/>
  <c r="AP8" i="1"/>
  <c r="AQ76" i="1"/>
  <c r="AQ44" i="1"/>
  <c r="AQ12" i="1"/>
  <c r="AP79" i="1"/>
  <c r="AP47" i="1"/>
  <c r="AP15" i="1"/>
  <c r="AQ104" i="1"/>
  <c r="AQ96" i="1"/>
  <c r="AQ88" i="1"/>
  <c r="AQ80" i="1"/>
  <c r="AQ72" i="1"/>
  <c r="AQ64" i="1"/>
  <c r="AQ56" i="1"/>
  <c r="AQ48" i="1"/>
  <c r="AQ40" i="1"/>
  <c r="AQ32" i="1"/>
  <c r="AQ24" i="1"/>
  <c r="AQ16" i="1"/>
  <c r="AQ8" i="1"/>
  <c r="AP99" i="1"/>
  <c r="AP91" i="1"/>
  <c r="AP83" i="1"/>
  <c r="AP75" i="1"/>
  <c r="AP67" i="1"/>
  <c r="AP59" i="1"/>
  <c r="AP51" i="1"/>
  <c r="AP43" i="1"/>
  <c r="AP35" i="1"/>
  <c r="AP27" i="1"/>
  <c r="AP19" i="1"/>
  <c r="AP11" i="1"/>
  <c r="AQ86" i="1"/>
  <c r="AQ70" i="1"/>
  <c r="AQ54" i="1"/>
  <c r="AQ38" i="1"/>
  <c r="AQ22" i="1"/>
  <c r="AP105" i="1"/>
  <c r="AP89" i="1"/>
  <c r="AP73" i="1"/>
  <c r="AP57" i="1"/>
  <c r="AP41" i="1"/>
  <c r="AP25" i="1"/>
  <c r="AP9" i="1"/>
  <c r="AQ101" i="1"/>
  <c r="AQ85" i="1"/>
  <c r="AQ69" i="1"/>
  <c r="AQ53" i="1"/>
  <c r="AQ37" i="1"/>
  <c r="AQ21" i="1"/>
  <c r="AP104" i="1"/>
  <c r="AP88" i="1"/>
  <c r="AP72" i="1"/>
  <c r="AP56" i="1"/>
  <c r="AP40" i="1"/>
  <c r="AP24" i="1"/>
  <c r="AQ60" i="1"/>
  <c r="AQ20" i="1"/>
  <c r="AP87" i="1"/>
  <c r="AP55" i="1"/>
  <c r="AP23" i="1"/>
  <c r="M9" i="6"/>
  <c r="AF3" i="1"/>
  <c r="AG42" i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6" i="1"/>
  <c r="AG7" i="1" s="1"/>
  <c r="AG8" i="1" s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5" i="1"/>
  <c r="AG4" i="1"/>
  <c r="AV14" i="1" l="1"/>
  <c r="M10" i="6"/>
  <c r="V2" i="1"/>
  <c r="AV15" i="1" l="1"/>
  <c r="M11" i="6"/>
  <c r="AI50" i="1"/>
  <c r="AI42" i="1"/>
  <c r="AI34" i="1"/>
  <c r="AI26" i="1"/>
  <c r="AI18" i="1"/>
  <c r="AI10" i="1"/>
  <c r="AI49" i="1"/>
  <c r="AI41" i="1"/>
  <c r="AI33" i="1"/>
  <c r="AI25" i="1"/>
  <c r="AI17" i="1"/>
  <c r="AI9" i="1"/>
  <c r="V8" i="1"/>
  <c r="AI48" i="1"/>
  <c r="AI40" i="1"/>
  <c r="AI32" i="1"/>
  <c r="AI24" i="1"/>
  <c r="AI16" i="1"/>
  <c r="AI8" i="1"/>
  <c r="AI47" i="1"/>
  <c r="AI39" i="1"/>
  <c r="AI31" i="1"/>
  <c r="AI23" i="1"/>
  <c r="AI15" i="1"/>
  <c r="AI7" i="1"/>
  <c r="AI54" i="1"/>
  <c r="AI46" i="1"/>
  <c r="AI38" i="1"/>
  <c r="AI30" i="1"/>
  <c r="AI22" i="1"/>
  <c r="AI14" i="1"/>
  <c r="AI6" i="1"/>
  <c r="AI53" i="1"/>
  <c r="AI45" i="1"/>
  <c r="AI37" i="1"/>
  <c r="AI29" i="1"/>
  <c r="AI21" i="1"/>
  <c r="AI13" i="1"/>
  <c r="AI5" i="1"/>
  <c r="AI52" i="1"/>
  <c r="AI44" i="1"/>
  <c r="AI36" i="1"/>
  <c r="AI28" i="1"/>
  <c r="AI20" i="1"/>
  <c r="AI12" i="1"/>
  <c r="AI4" i="1"/>
  <c r="AI51" i="1"/>
  <c r="AI43" i="1"/>
  <c r="AI35" i="1"/>
  <c r="AI27" i="1"/>
  <c r="AI19" i="1"/>
  <c r="AI11" i="1"/>
  <c r="AE203" i="1"/>
  <c r="AD203" i="1"/>
  <c r="AE202" i="1"/>
  <c r="AD202" i="1"/>
  <c r="AE201" i="1"/>
  <c r="AD201" i="1"/>
  <c r="AE200" i="1"/>
  <c r="AD200" i="1"/>
  <c r="AE199" i="1"/>
  <c r="AD199" i="1"/>
  <c r="AE198" i="1"/>
  <c r="AD198" i="1"/>
  <c r="AE197" i="1"/>
  <c r="AD197" i="1"/>
  <c r="AE196" i="1"/>
  <c r="AD196" i="1"/>
  <c r="AE195" i="1"/>
  <c r="AD195" i="1"/>
  <c r="AE194" i="1"/>
  <c r="AD194" i="1"/>
  <c r="AE193" i="1"/>
  <c r="AD193" i="1"/>
  <c r="AE192" i="1"/>
  <c r="AD192" i="1"/>
  <c r="AE191" i="1"/>
  <c r="AD191" i="1"/>
  <c r="AE190" i="1"/>
  <c r="AD190" i="1"/>
  <c r="AE189" i="1"/>
  <c r="AD189" i="1"/>
  <c r="AE188" i="1"/>
  <c r="AD188" i="1"/>
  <c r="AE187" i="1"/>
  <c r="AD187" i="1"/>
  <c r="AE186" i="1"/>
  <c r="AD186" i="1"/>
  <c r="AE185" i="1"/>
  <c r="AD185" i="1"/>
  <c r="AE184" i="1"/>
  <c r="AD184" i="1"/>
  <c r="AE183" i="1"/>
  <c r="AD183" i="1"/>
  <c r="AE182" i="1"/>
  <c r="AD182" i="1"/>
  <c r="AE181" i="1"/>
  <c r="AD181" i="1"/>
  <c r="AE180" i="1"/>
  <c r="AD180" i="1"/>
  <c r="AE179" i="1"/>
  <c r="AD179" i="1"/>
  <c r="AE178" i="1"/>
  <c r="AD178" i="1"/>
  <c r="AE177" i="1"/>
  <c r="AD177" i="1"/>
  <c r="AE176" i="1"/>
  <c r="AD176" i="1"/>
  <c r="AE175" i="1"/>
  <c r="AD175" i="1"/>
  <c r="AE174" i="1"/>
  <c r="AD174" i="1"/>
  <c r="AE173" i="1"/>
  <c r="AD173" i="1"/>
  <c r="AE172" i="1"/>
  <c r="AD172" i="1"/>
  <c r="AE171" i="1"/>
  <c r="AD171" i="1"/>
  <c r="AE170" i="1"/>
  <c r="AD170" i="1"/>
  <c r="AE169" i="1"/>
  <c r="AD169" i="1"/>
  <c r="AE168" i="1"/>
  <c r="AD168" i="1"/>
  <c r="AE167" i="1"/>
  <c r="AD167" i="1"/>
  <c r="AE166" i="1"/>
  <c r="AD166" i="1"/>
  <c r="AE165" i="1"/>
  <c r="AD165" i="1"/>
  <c r="AE164" i="1"/>
  <c r="AD164" i="1"/>
  <c r="AE163" i="1"/>
  <c r="AD163" i="1"/>
  <c r="AE162" i="1"/>
  <c r="AD162" i="1"/>
  <c r="AE161" i="1"/>
  <c r="AD161" i="1"/>
  <c r="AE160" i="1"/>
  <c r="AD160" i="1"/>
  <c r="AE159" i="1"/>
  <c r="AD159" i="1"/>
  <c r="AE158" i="1"/>
  <c r="AD158" i="1"/>
  <c r="AE157" i="1"/>
  <c r="AD157" i="1"/>
  <c r="AE156" i="1"/>
  <c r="AD156" i="1"/>
  <c r="AE155" i="1"/>
  <c r="AD155" i="1"/>
  <c r="AE154" i="1"/>
  <c r="AD154" i="1"/>
  <c r="AE153" i="1"/>
  <c r="AD153" i="1"/>
  <c r="AE152" i="1"/>
  <c r="AD152" i="1"/>
  <c r="AE151" i="1"/>
  <c r="AD151" i="1"/>
  <c r="AE150" i="1"/>
  <c r="AD150" i="1"/>
  <c r="AE149" i="1"/>
  <c r="AD149" i="1"/>
  <c r="AE148" i="1"/>
  <c r="AD148" i="1"/>
  <c r="AE147" i="1"/>
  <c r="AD147" i="1"/>
  <c r="AE146" i="1"/>
  <c r="AD146" i="1"/>
  <c r="AE145" i="1"/>
  <c r="AD145" i="1"/>
  <c r="AE144" i="1"/>
  <c r="AD144" i="1"/>
  <c r="AE143" i="1"/>
  <c r="AD143" i="1"/>
  <c r="AE142" i="1"/>
  <c r="AD142" i="1"/>
  <c r="AE141" i="1"/>
  <c r="AD141" i="1"/>
  <c r="AE140" i="1"/>
  <c r="AD140" i="1"/>
  <c r="AE139" i="1"/>
  <c r="AD139" i="1"/>
  <c r="AE138" i="1"/>
  <c r="AD138" i="1"/>
  <c r="AE137" i="1"/>
  <c r="AD137" i="1"/>
  <c r="AE136" i="1"/>
  <c r="AD136" i="1"/>
  <c r="AE135" i="1"/>
  <c r="AD135" i="1"/>
  <c r="AE134" i="1"/>
  <c r="AD134" i="1"/>
  <c r="AE133" i="1"/>
  <c r="AD133" i="1"/>
  <c r="AE132" i="1"/>
  <c r="AD132" i="1"/>
  <c r="AE131" i="1"/>
  <c r="AD131" i="1"/>
  <c r="AE130" i="1"/>
  <c r="AD130" i="1"/>
  <c r="AE129" i="1"/>
  <c r="AD129" i="1"/>
  <c r="AE128" i="1"/>
  <c r="AD128" i="1"/>
  <c r="AE127" i="1"/>
  <c r="AD127" i="1"/>
  <c r="AE126" i="1"/>
  <c r="AD126" i="1"/>
  <c r="AE125" i="1"/>
  <c r="AD125" i="1"/>
  <c r="AE124" i="1"/>
  <c r="AD124" i="1"/>
  <c r="AE123" i="1"/>
  <c r="AD123" i="1"/>
  <c r="AE122" i="1"/>
  <c r="AD122" i="1"/>
  <c r="AE121" i="1"/>
  <c r="AD121" i="1"/>
  <c r="AE120" i="1"/>
  <c r="AD120" i="1"/>
  <c r="AE119" i="1"/>
  <c r="AD119" i="1"/>
  <c r="AE118" i="1"/>
  <c r="AD118" i="1"/>
  <c r="AE117" i="1"/>
  <c r="AD117" i="1"/>
  <c r="AE116" i="1"/>
  <c r="AD116" i="1"/>
  <c r="AE115" i="1"/>
  <c r="AD115" i="1"/>
  <c r="AE114" i="1"/>
  <c r="AD114" i="1"/>
  <c r="AE113" i="1"/>
  <c r="AD113" i="1"/>
  <c r="AE112" i="1"/>
  <c r="AD112" i="1"/>
  <c r="AE111" i="1"/>
  <c r="AD111" i="1"/>
  <c r="AE110" i="1"/>
  <c r="AD110" i="1"/>
  <c r="AE109" i="1"/>
  <c r="AD109" i="1"/>
  <c r="AE108" i="1"/>
  <c r="AD108" i="1"/>
  <c r="AE107" i="1"/>
  <c r="AD107" i="1"/>
  <c r="AE106" i="1"/>
  <c r="AD106" i="1"/>
  <c r="AE105" i="1"/>
  <c r="AD105" i="1"/>
  <c r="AE104" i="1"/>
  <c r="AD104" i="1"/>
  <c r="AE103" i="1"/>
  <c r="AD103" i="1"/>
  <c r="AE102" i="1"/>
  <c r="AD102" i="1"/>
  <c r="AE101" i="1"/>
  <c r="AD101" i="1"/>
  <c r="AE100" i="1"/>
  <c r="AD100" i="1"/>
  <c r="AE99" i="1"/>
  <c r="AD99" i="1"/>
  <c r="AE98" i="1"/>
  <c r="AD98" i="1"/>
  <c r="AE97" i="1"/>
  <c r="AD97" i="1"/>
  <c r="AE96" i="1"/>
  <c r="AD96" i="1"/>
  <c r="AE95" i="1"/>
  <c r="AD95" i="1"/>
  <c r="AE94" i="1"/>
  <c r="AD94" i="1"/>
  <c r="AE93" i="1"/>
  <c r="AD93" i="1"/>
  <c r="AE92" i="1"/>
  <c r="AD92" i="1"/>
  <c r="AE91" i="1"/>
  <c r="AD91" i="1"/>
  <c r="AE90" i="1"/>
  <c r="AD90" i="1"/>
  <c r="AE89" i="1"/>
  <c r="AD89" i="1"/>
  <c r="AE88" i="1"/>
  <c r="AD88" i="1"/>
  <c r="AE87" i="1"/>
  <c r="AD87" i="1"/>
  <c r="AE86" i="1"/>
  <c r="AD86" i="1"/>
  <c r="AE85" i="1"/>
  <c r="AD85" i="1"/>
  <c r="AE84" i="1"/>
  <c r="AD84" i="1"/>
  <c r="AE83" i="1"/>
  <c r="AD83" i="1"/>
  <c r="AE82" i="1"/>
  <c r="AD82" i="1"/>
  <c r="AE81" i="1"/>
  <c r="AD81" i="1"/>
  <c r="AE80" i="1"/>
  <c r="AD80" i="1"/>
  <c r="AE79" i="1"/>
  <c r="AD79" i="1"/>
  <c r="AE78" i="1"/>
  <c r="AD78" i="1"/>
  <c r="AE77" i="1"/>
  <c r="AD77" i="1"/>
  <c r="AE76" i="1"/>
  <c r="AD76" i="1"/>
  <c r="AE75" i="1"/>
  <c r="AD75" i="1"/>
  <c r="AE74" i="1"/>
  <c r="AD74" i="1"/>
  <c r="AE73" i="1"/>
  <c r="AD73" i="1"/>
  <c r="AE72" i="1"/>
  <c r="AD72" i="1"/>
  <c r="AE71" i="1"/>
  <c r="AD71" i="1"/>
  <c r="AE70" i="1"/>
  <c r="AD70" i="1"/>
  <c r="AE69" i="1"/>
  <c r="AD69" i="1"/>
  <c r="AE68" i="1"/>
  <c r="AD68" i="1"/>
  <c r="AE67" i="1"/>
  <c r="AD67" i="1"/>
  <c r="AE66" i="1"/>
  <c r="AD66" i="1"/>
  <c r="AE65" i="1"/>
  <c r="AD65" i="1"/>
  <c r="AE64" i="1"/>
  <c r="AD64" i="1"/>
  <c r="AE63" i="1"/>
  <c r="AD63" i="1"/>
  <c r="AE62" i="1"/>
  <c r="AD62" i="1"/>
  <c r="AE61" i="1"/>
  <c r="AD61" i="1"/>
  <c r="AE60" i="1"/>
  <c r="AD60" i="1"/>
  <c r="AE59" i="1"/>
  <c r="AD59" i="1"/>
  <c r="AE58" i="1"/>
  <c r="AD58" i="1"/>
  <c r="AE57" i="1"/>
  <c r="AD57" i="1"/>
  <c r="AE56" i="1"/>
  <c r="AD56" i="1"/>
  <c r="AE55" i="1"/>
  <c r="AD55" i="1"/>
  <c r="AE54" i="1"/>
  <c r="AD54" i="1"/>
  <c r="AE53" i="1"/>
  <c r="AD53" i="1"/>
  <c r="AE52" i="1"/>
  <c r="AD52" i="1"/>
  <c r="AE51" i="1"/>
  <c r="AD51" i="1"/>
  <c r="AE50" i="1"/>
  <c r="AD50" i="1"/>
  <c r="AE49" i="1"/>
  <c r="AD49" i="1"/>
  <c r="AE48" i="1"/>
  <c r="AD48" i="1"/>
  <c r="AE47" i="1"/>
  <c r="AD47" i="1"/>
  <c r="AE46" i="1"/>
  <c r="AD46" i="1"/>
  <c r="AE45" i="1"/>
  <c r="AD45" i="1"/>
  <c r="AE44" i="1"/>
  <c r="AD44" i="1"/>
  <c r="AE43" i="1"/>
  <c r="AD43" i="1"/>
  <c r="AE42" i="1"/>
  <c r="AD42" i="1"/>
  <c r="AE41" i="1"/>
  <c r="AD41" i="1"/>
  <c r="AE40" i="1"/>
  <c r="AD40" i="1"/>
  <c r="AE39" i="1"/>
  <c r="AD39" i="1"/>
  <c r="AE38" i="1"/>
  <c r="AD38" i="1"/>
  <c r="AE37" i="1"/>
  <c r="AD37" i="1"/>
  <c r="AE36" i="1"/>
  <c r="AD36" i="1"/>
  <c r="AE35" i="1"/>
  <c r="AD35" i="1"/>
  <c r="AE34" i="1"/>
  <c r="AD34" i="1"/>
  <c r="AE33" i="1"/>
  <c r="AD33" i="1"/>
  <c r="AE32" i="1"/>
  <c r="AD32" i="1"/>
  <c r="AE31" i="1"/>
  <c r="AD31" i="1"/>
  <c r="AE30" i="1"/>
  <c r="AD30" i="1"/>
  <c r="AE29" i="1"/>
  <c r="AD29" i="1"/>
  <c r="AE28" i="1"/>
  <c r="AD28" i="1"/>
  <c r="AE27" i="1"/>
  <c r="AD27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AE4" i="1"/>
  <c r="AD4" i="1"/>
  <c r="AE3" i="1"/>
  <c r="AF6" i="1"/>
  <c r="AF7" i="1" s="1"/>
  <c r="AF8" i="1" s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F97" i="1" s="1"/>
  <c r="AF98" i="1" s="1"/>
  <c r="AF99" i="1" s="1"/>
  <c r="AF100" i="1" s="1"/>
  <c r="AF101" i="1" s="1"/>
  <c r="AF102" i="1" s="1"/>
  <c r="AF103" i="1" s="1"/>
  <c r="AF104" i="1" s="1"/>
  <c r="AF105" i="1" s="1"/>
  <c r="AF106" i="1" s="1"/>
  <c r="AF107" i="1" s="1"/>
  <c r="AF108" i="1" s="1"/>
  <c r="AF109" i="1" s="1"/>
  <c r="AF110" i="1" s="1"/>
  <c r="AF111" i="1" s="1"/>
  <c r="AF112" i="1" s="1"/>
  <c r="AF113" i="1" s="1"/>
  <c r="AF114" i="1" s="1"/>
  <c r="AF115" i="1" s="1"/>
  <c r="AF116" i="1" s="1"/>
  <c r="AF117" i="1" s="1"/>
  <c r="AF118" i="1" s="1"/>
  <c r="AF119" i="1" s="1"/>
  <c r="AF120" i="1" s="1"/>
  <c r="AF121" i="1" s="1"/>
  <c r="AF122" i="1" s="1"/>
  <c r="AF123" i="1" s="1"/>
  <c r="AF124" i="1" s="1"/>
  <c r="AF125" i="1" s="1"/>
  <c r="AF126" i="1" s="1"/>
  <c r="AF127" i="1" s="1"/>
  <c r="AF128" i="1" s="1"/>
  <c r="AF129" i="1" s="1"/>
  <c r="AF130" i="1" s="1"/>
  <c r="AF131" i="1" s="1"/>
  <c r="AF132" i="1" s="1"/>
  <c r="AF133" i="1" s="1"/>
  <c r="AF134" i="1" s="1"/>
  <c r="AF135" i="1" s="1"/>
  <c r="AF136" i="1" s="1"/>
  <c r="AF137" i="1" s="1"/>
  <c r="AF138" i="1" s="1"/>
  <c r="AF139" i="1" s="1"/>
  <c r="AF140" i="1" s="1"/>
  <c r="AF141" i="1" s="1"/>
  <c r="AF142" i="1" s="1"/>
  <c r="AF143" i="1" s="1"/>
  <c r="AF144" i="1" s="1"/>
  <c r="AF145" i="1" s="1"/>
  <c r="AF146" i="1" s="1"/>
  <c r="AF147" i="1" s="1"/>
  <c r="AF148" i="1" s="1"/>
  <c r="AF149" i="1" s="1"/>
  <c r="AF150" i="1" s="1"/>
  <c r="AF151" i="1" s="1"/>
  <c r="AF152" i="1" s="1"/>
  <c r="AF153" i="1" s="1"/>
  <c r="AF154" i="1" s="1"/>
  <c r="AF155" i="1" s="1"/>
  <c r="AF156" i="1" s="1"/>
  <c r="AF157" i="1" s="1"/>
  <c r="AF158" i="1" s="1"/>
  <c r="AF159" i="1" s="1"/>
  <c r="AF160" i="1" s="1"/>
  <c r="AF161" i="1" s="1"/>
  <c r="AF162" i="1" s="1"/>
  <c r="AF163" i="1" s="1"/>
  <c r="AF164" i="1" s="1"/>
  <c r="AF165" i="1" s="1"/>
  <c r="AF166" i="1" s="1"/>
  <c r="AF167" i="1" s="1"/>
  <c r="AF168" i="1" s="1"/>
  <c r="AF169" i="1" s="1"/>
  <c r="AF170" i="1" s="1"/>
  <c r="AF171" i="1" s="1"/>
  <c r="AF172" i="1" s="1"/>
  <c r="AF173" i="1" s="1"/>
  <c r="AF174" i="1" s="1"/>
  <c r="AF175" i="1" s="1"/>
  <c r="AF176" i="1" s="1"/>
  <c r="AF177" i="1" s="1"/>
  <c r="AF178" i="1" s="1"/>
  <c r="AF179" i="1" s="1"/>
  <c r="AF180" i="1" s="1"/>
  <c r="AF181" i="1" s="1"/>
  <c r="AF182" i="1" s="1"/>
  <c r="AF183" i="1" s="1"/>
  <c r="AF184" i="1" s="1"/>
  <c r="AF185" i="1" s="1"/>
  <c r="AF186" i="1" s="1"/>
  <c r="AF187" i="1" s="1"/>
  <c r="AF188" i="1" s="1"/>
  <c r="AF189" i="1" s="1"/>
  <c r="AF190" i="1" s="1"/>
  <c r="AF191" i="1" s="1"/>
  <c r="AF192" i="1" s="1"/>
  <c r="AF193" i="1" s="1"/>
  <c r="AF194" i="1" s="1"/>
  <c r="AF195" i="1" s="1"/>
  <c r="AF196" i="1" s="1"/>
  <c r="AF197" i="1" s="1"/>
  <c r="AF198" i="1" s="1"/>
  <c r="AF199" i="1" s="1"/>
  <c r="AF200" i="1" s="1"/>
  <c r="AF201" i="1" s="1"/>
  <c r="AF202" i="1" s="1"/>
  <c r="AF203" i="1" s="1"/>
  <c r="AF5" i="1"/>
  <c r="AF4" i="1"/>
  <c r="C6" i="1"/>
  <c r="AV16" i="1" l="1"/>
  <c r="M12" i="6"/>
  <c r="K2" i="1"/>
  <c r="K1" i="1"/>
  <c r="AC3" i="1"/>
  <c r="AC1" i="1"/>
  <c r="Y2" i="1"/>
  <c r="Z3" i="1"/>
  <c r="Z4" i="1" s="1"/>
  <c r="AV17" i="1" l="1"/>
  <c r="M13" i="6"/>
  <c r="Z5" i="1"/>
  <c r="AC4" i="1"/>
  <c r="AA3" i="1"/>
  <c r="AA4" i="1" s="1"/>
  <c r="AA5" i="1" s="1"/>
  <c r="B5" i="1"/>
  <c r="B3" i="1"/>
  <c r="AV18" i="1" l="1"/>
  <c r="M14" i="6"/>
  <c r="AB5" i="1"/>
  <c r="AB4" i="1"/>
  <c r="AB3" i="1"/>
  <c r="Z6" i="1"/>
  <c r="AB6" i="1" s="1"/>
  <c r="AC5" i="1"/>
  <c r="AA6" i="1"/>
  <c r="BE23" i="4"/>
  <c r="BE22" i="4"/>
  <c r="BE21" i="4"/>
  <c r="BE20" i="4"/>
  <c r="BE19" i="4"/>
  <c r="BE18" i="4"/>
  <c r="BE17" i="4"/>
  <c r="BE16" i="4"/>
  <c r="BE15" i="4"/>
  <c r="BE14" i="4"/>
  <c r="BD23" i="4"/>
  <c r="BD22" i="4"/>
  <c r="BD21" i="4"/>
  <c r="BD20" i="4"/>
  <c r="BD19" i="4"/>
  <c r="BD18" i="4"/>
  <c r="BD17" i="4"/>
  <c r="BD16" i="4"/>
  <c r="BD15" i="4"/>
  <c r="BD14" i="4"/>
  <c r="AW23" i="4"/>
  <c r="AV23" i="4"/>
  <c r="AZ23" i="4" s="1"/>
  <c r="AU23" i="4"/>
  <c r="AZ22" i="4"/>
  <c r="AY22" i="4"/>
  <c r="AX22" i="4"/>
  <c r="BC22" i="4" s="1"/>
  <c r="AW22" i="4"/>
  <c r="AV22" i="4"/>
  <c r="AU22" i="4"/>
  <c r="AZ21" i="4"/>
  <c r="AY21" i="4"/>
  <c r="AX21" i="4"/>
  <c r="BC21" i="4" s="1"/>
  <c r="AW21" i="4"/>
  <c r="AV21" i="4"/>
  <c r="AU21" i="4"/>
  <c r="AZ20" i="4"/>
  <c r="AY20" i="4"/>
  <c r="AW20" i="4"/>
  <c r="AV20" i="4"/>
  <c r="AU20" i="4"/>
  <c r="AX20" i="4" s="1"/>
  <c r="AZ19" i="4"/>
  <c r="AW19" i="4"/>
  <c r="AV19" i="4"/>
  <c r="AU19" i="4"/>
  <c r="AY19" i="4" s="1"/>
  <c r="AW18" i="4"/>
  <c r="AV18" i="4"/>
  <c r="AU18" i="4"/>
  <c r="AZ18" i="4" s="1"/>
  <c r="AW17" i="4"/>
  <c r="AV17" i="4"/>
  <c r="AU17" i="4"/>
  <c r="AZ17" i="4" s="1"/>
  <c r="AW16" i="4"/>
  <c r="AV16" i="4"/>
  <c r="AU16" i="4"/>
  <c r="AZ16" i="4" s="1"/>
  <c r="AW15" i="4"/>
  <c r="AV15" i="4"/>
  <c r="AZ15" i="4" s="1"/>
  <c r="AU15" i="4"/>
  <c r="AZ14" i="4"/>
  <c r="AY14" i="4"/>
  <c r="AX14" i="4"/>
  <c r="BC14" i="4" s="1"/>
  <c r="AW14" i="4"/>
  <c r="AV14" i="4"/>
  <c r="AU14" i="4"/>
  <c r="AH23" i="4"/>
  <c r="AG23" i="4"/>
  <c r="AF23" i="4"/>
  <c r="AE23" i="4"/>
  <c r="AD23" i="4"/>
  <c r="AH22" i="4"/>
  <c r="AG22" i="4"/>
  <c r="AF22" i="4"/>
  <c r="AE22" i="4"/>
  <c r="AD22" i="4"/>
  <c r="AH21" i="4"/>
  <c r="AG21" i="4"/>
  <c r="AE21" i="4"/>
  <c r="AD21" i="4"/>
  <c r="AF21" i="4" s="1"/>
  <c r="AH20" i="4"/>
  <c r="AE20" i="4"/>
  <c r="AD20" i="4"/>
  <c r="AG20" i="4" s="1"/>
  <c r="AE19" i="4"/>
  <c r="AD19" i="4"/>
  <c r="AH19" i="4" s="1"/>
  <c r="AE18" i="4"/>
  <c r="AD18" i="4"/>
  <c r="AE17" i="4"/>
  <c r="AD17" i="4"/>
  <c r="AE16" i="4"/>
  <c r="AD16" i="4"/>
  <c r="AH15" i="4"/>
  <c r="AG15" i="4"/>
  <c r="AF15" i="4"/>
  <c r="AE15" i="4"/>
  <c r="AD15" i="4"/>
  <c r="AJ14" i="4"/>
  <c r="AI14" i="4"/>
  <c r="AH14" i="4"/>
  <c r="AG14" i="4"/>
  <c r="AK14" i="4" s="1"/>
  <c r="AF14" i="4"/>
  <c r="AE14" i="4"/>
  <c r="AD14" i="4"/>
  <c r="AV19" i="1" l="1"/>
  <c r="M15" i="6"/>
  <c r="BF16" i="4"/>
  <c r="Z7" i="1"/>
  <c r="AC6" i="1"/>
  <c r="BF14" i="4"/>
  <c r="AA7" i="1"/>
  <c r="BF18" i="4"/>
  <c r="BF17" i="4"/>
  <c r="BF19" i="4"/>
  <c r="BF20" i="4"/>
  <c r="BF21" i="4"/>
  <c r="BF22" i="4"/>
  <c r="BF15" i="4"/>
  <c r="BF23" i="4"/>
  <c r="BC20" i="4"/>
  <c r="BB20" i="4"/>
  <c r="BA20" i="4"/>
  <c r="AX15" i="4"/>
  <c r="AX23" i="4"/>
  <c r="AY15" i="4"/>
  <c r="AX16" i="4"/>
  <c r="BA21" i="4"/>
  <c r="AY23" i="4"/>
  <c r="BA14" i="4"/>
  <c r="AY16" i="4"/>
  <c r="AX17" i="4"/>
  <c r="BB21" i="4"/>
  <c r="BA22" i="4"/>
  <c r="BB14" i="4"/>
  <c r="AY17" i="4"/>
  <c r="AX18" i="4"/>
  <c r="BB22" i="4"/>
  <c r="AY18" i="4"/>
  <c r="AX19" i="4"/>
  <c r="AL14" i="4"/>
  <c r="AP14" i="4" s="1"/>
  <c r="AN14" i="4"/>
  <c r="AM14" i="4"/>
  <c r="AH18" i="4"/>
  <c r="AG18" i="4"/>
  <c r="AF18" i="4"/>
  <c r="AK21" i="4"/>
  <c r="AJ21" i="4"/>
  <c r="AH17" i="4"/>
  <c r="AG17" i="4"/>
  <c r="AF17" i="4"/>
  <c r="AH16" i="4"/>
  <c r="AG16" i="4"/>
  <c r="AK22" i="4"/>
  <c r="AJ22" i="4"/>
  <c r="AI22" i="4"/>
  <c r="AK23" i="4"/>
  <c r="AJ23" i="4"/>
  <c r="AI23" i="4"/>
  <c r="AK15" i="4"/>
  <c r="AJ15" i="4"/>
  <c r="AI15" i="4"/>
  <c r="AF16" i="4"/>
  <c r="AI21" i="4"/>
  <c r="AF19" i="4"/>
  <c r="AG19" i="4"/>
  <c r="AF20" i="4"/>
  <c r="C11" i="1"/>
  <c r="F22" i="1" s="1"/>
  <c r="AV20" i="1" l="1"/>
  <c r="AU2" i="1"/>
  <c r="AU3" i="1"/>
  <c r="S1" i="1"/>
  <c r="M16" i="6"/>
  <c r="Z8" i="1"/>
  <c r="AC7" i="1"/>
  <c r="AB7" i="1"/>
  <c r="AA8" i="1"/>
  <c r="BB16" i="4"/>
  <c r="BA16" i="4"/>
  <c r="BC16" i="4"/>
  <c r="BC23" i="4"/>
  <c r="BB23" i="4"/>
  <c r="BA23" i="4"/>
  <c r="BC19" i="4"/>
  <c r="BA19" i="4"/>
  <c r="BB19" i="4"/>
  <c r="BA17" i="4"/>
  <c r="BC17" i="4"/>
  <c r="BB17" i="4"/>
  <c r="BC15" i="4"/>
  <c r="BB15" i="4"/>
  <c r="BA15" i="4"/>
  <c r="BC18" i="4"/>
  <c r="BB18" i="4"/>
  <c r="BA18" i="4"/>
  <c r="AK19" i="4"/>
  <c r="AJ19" i="4"/>
  <c r="AI19" i="4"/>
  <c r="AM22" i="4"/>
  <c r="AL22" i="4"/>
  <c r="AN22" i="4"/>
  <c r="AK16" i="4"/>
  <c r="AJ16" i="4"/>
  <c r="AI16" i="4"/>
  <c r="AL15" i="4"/>
  <c r="AM15" i="4"/>
  <c r="AN15" i="4"/>
  <c r="AI18" i="4"/>
  <c r="AK18" i="4"/>
  <c r="AJ18" i="4"/>
  <c r="AQ14" i="4"/>
  <c r="AK20" i="4"/>
  <c r="AJ20" i="4"/>
  <c r="AI20" i="4"/>
  <c r="AN21" i="4"/>
  <c r="AM21" i="4"/>
  <c r="AL21" i="4"/>
  <c r="AO14" i="4"/>
  <c r="AT14" i="4" s="1"/>
  <c r="AL23" i="4"/>
  <c r="AN23" i="4"/>
  <c r="AM23" i="4"/>
  <c r="AJ17" i="4"/>
  <c r="AI17" i="4"/>
  <c r="AK17" i="4"/>
  <c r="AS14" i="4"/>
  <c r="AR14" i="4"/>
  <c r="T20" i="4"/>
  <c r="K20" i="4" s="1"/>
  <c r="AV21" i="1" l="1"/>
  <c r="O6" i="1"/>
  <c r="O5" i="1"/>
  <c r="T54" i="1" s="1"/>
  <c r="AR5" i="1"/>
  <c r="AR6" i="1" s="1"/>
  <c r="AR7" i="1" s="1"/>
  <c r="AR8" i="1" s="1"/>
  <c r="AR9" i="1" s="1"/>
  <c r="AR10" i="1" s="1"/>
  <c r="AR11" i="1" s="1"/>
  <c r="AR12" i="1" s="1"/>
  <c r="AR13" i="1" s="1"/>
  <c r="AR14" i="1" s="1"/>
  <c r="AR15" i="1" s="1"/>
  <c r="AR16" i="1" s="1"/>
  <c r="AR17" i="1" s="1"/>
  <c r="AR18" i="1" s="1"/>
  <c r="AR19" i="1" s="1"/>
  <c r="AR20" i="1" s="1"/>
  <c r="AR21" i="1" s="1"/>
  <c r="AR22" i="1" s="1"/>
  <c r="AR23" i="1" s="1"/>
  <c r="AR24" i="1" s="1"/>
  <c r="AR25" i="1" s="1"/>
  <c r="AR26" i="1" s="1"/>
  <c r="AR27" i="1" s="1"/>
  <c r="AR28" i="1" s="1"/>
  <c r="AR29" i="1" s="1"/>
  <c r="AR30" i="1" s="1"/>
  <c r="AR31" i="1" s="1"/>
  <c r="AR32" i="1" s="1"/>
  <c r="AR33" i="1" s="1"/>
  <c r="AR34" i="1" s="1"/>
  <c r="AR35" i="1" s="1"/>
  <c r="AR36" i="1" s="1"/>
  <c r="AR37" i="1" s="1"/>
  <c r="AR38" i="1" s="1"/>
  <c r="AR39" i="1" s="1"/>
  <c r="AR40" i="1" s="1"/>
  <c r="AR41" i="1" s="1"/>
  <c r="AR42" i="1" s="1"/>
  <c r="AR43" i="1" s="1"/>
  <c r="AR44" i="1" s="1"/>
  <c r="AR45" i="1" s="1"/>
  <c r="AR46" i="1" s="1"/>
  <c r="AR47" i="1" s="1"/>
  <c r="AR48" i="1" s="1"/>
  <c r="AR49" i="1" s="1"/>
  <c r="AR50" i="1" s="1"/>
  <c r="AR51" i="1" s="1"/>
  <c r="AR52" i="1" s="1"/>
  <c r="AR53" i="1" s="1"/>
  <c r="AR54" i="1" s="1"/>
  <c r="AR55" i="1" s="1"/>
  <c r="AR56" i="1" s="1"/>
  <c r="AR57" i="1" s="1"/>
  <c r="AR58" i="1" s="1"/>
  <c r="AR59" i="1" s="1"/>
  <c r="AR60" i="1" s="1"/>
  <c r="AR61" i="1" s="1"/>
  <c r="AR62" i="1" s="1"/>
  <c r="AR63" i="1" s="1"/>
  <c r="AR64" i="1" s="1"/>
  <c r="AR65" i="1" s="1"/>
  <c r="AR66" i="1" s="1"/>
  <c r="AR67" i="1" s="1"/>
  <c r="AR68" i="1" s="1"/>
  <c r="AR69" i="1" s="1"/>
  <c r="AR70" i="1" s="1"/>
  <c r="AR71" i="1" s="1"/>
  <c r="AR72" i="1" s="1"/>
  <c r="AR73" i="1" s="1"/>
  <c r="AR74" i="1" s="1"/>
  <c r="AR75" i="1" s="1"/>
  <c r="AR76" i="1" s="1"/>
  <c r="AR77" i="1" s="1"/>
  <c r="AR78" i="1" s="1"/>
  <c r="AR79" i="1" s="1"/>
  <c r="AR80" i="1" s="1"/>
  <c r="AR81" i="1" s="1"/>
  <c r="AR82" i="1" s="1"/>
  <c r="AR83" i="1" s="1"/>
  <c r="AR84" i="1" s="1"/>
  <c r="AR85" i="1" s="1"/>
  <c r="AR86" i="1" s="1"/>
  <c r="AR87" i="1" s="1"/>
  <c r="AR88" i="1" s="1"/>
  <c r="AR89" i="1" s="1"/>
  <c r="AR90" i="1" s="1"/>
  <c r="AR91" i="1" s="1"/>
  <c r="AR92" i="1" s="1"/>
  <c r="AR93" i="1" s="1"/>
  <c r="AR94" i="1" s="1"/>
  <c r="AR95" i="1" s="1"/>
  <c r="AR96" i="1" s="1"/>
  <c r="AR97" i="1" s="1"/>
  <c r="AR98" i="1" s="1"/>
  <c r="AR99" i="1" s="1"/>
  <c r="AR100" i="1" s="1"/>
  <c r="AR101" i="1" s="1"/>
  <c r="AR102" i="1" s="1"/>
  <c r="AR103" i="1" s="1"/>
  <c r="AR104" i="1" s="1"/>
  <c r="AR105" i="1" s="1"/>
  <c r="AS5" i="1"/>
  <c r="AT5" i="1"/>
  <c r="M17" i="6"/>
  <c r="Z9" i="1"/>
  <c r="AC8" i="1"/>
  <c r="AB8" i="1"/>
  <c r="AA9" i="1"/>
  <c r="AQ23" i="4"/>
  <c r="AP23" i="4"/>
  <c r="AO23" i="4"/>
  <c r="AQ21" i="4"/>
  <c r="AP21" i="4"/>
  <c r="AO21" i="4"/>
  <c r="AN18" i="4"/>
  <c r="AM18" i="4"/>
  <c r="AL18" i="4"/>
  <c r="AQ22" i="4"/>
  <c r="AP22" i="4"/>
  <c r="AO22" i="4"/>
  <c r="AN17" i="4"/>
  <c r="AM17" i="4"/>
  <c r="AL17" i="4"/>
  <c r="AN20" i="4"/>
  <c r="AM20" i="4"/>
  <c r="AL20" i="4"/>
  <c r="AN19" i="4"/>
  <c r="AM19" i="4"/>
  <c r="AL19" i="4"/>
  <c r="AQ15" i="4"/>
  <c r="AP15" i="4"/>
  <c r="AO15" i="4"/>
  <c r="AN16" i="4"/>
  <c r="AM16" i="4"/>
  <c r="AL16" i="4"/>
  <c r="T21" i="4"/>
  <c r="J21" i="4" s="1"/>
  <c r="S21" i="4"/>
  <c r="R21" i="4"/>
  <c r="U20" i="4"/>
  <c r="A12" i="1"/>
  <c r="B10" i="1"/>
  <c r="AV22" i="1" l="1"/>
  <c r="Q22" i="4"/>
  <c r="I21" i="4"/>
  <c r="M21" i="4"/>
  <c r="N3" i="6"/>
  <c r="O7" i="1"/>
  <c r="AT6" i="1"/>
  <c r="AS6" i="1"/>
  <c r="M18" i="6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AK4" i="1"/>
  <c r="AL4" i="1" s="1"/>
  <c r="R5" i="1"/>
  <c r="B9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J5" i="1"/>
  <c r="Z10" i="1"/>
  <c r="AC9" i="1"/>
  <c r="AB9" i="1"/>
  <c r="AA10" i="1"/>
  <c r="AQ18" i="4"/>
  <c r="AP18" i="4"/>
  <c r="AO18" i="4"/>
  <c r="AT15" i="4"/>
  <c r="AS15" i="4"/>
  <c r="AR15" i="4"/>
  <c r="AQ17" i="4"/>
  <c r="AP17" i="4"/>
  <c r="AO17" i="4"/>
  <c r="AT21" i="4"/>
  <c r="AS21" i="4"/>
  <c r="AR21" i="4"/>
  <c r="AP19" i="4"/>
  <c r="AO19" i="4"/>
  <c r="AQ19" i="4"/>
  <c r="AT22" i="4"/>
  <c r="AS22" i="4"/>
  <c r="AR22" i="4"/>
  <c r="AQ16" i="4"/>
  <c r="AP16" i="4"/>
  <c r="AO16" i="4"/>
  <c r="AT23" i="4"/>
  <c r="AS23" i="4"/>
  <c r="AR23" i="4"/>
  <c r="AO20" i="4"/>
  <c r="AQ20" i="4"/>
  <c r="AP20" i="4"/>
  <c r="S22" i="4"/>
  <c r="R22" i="4"/>
  <c r="I22" i="4" s="1"/>
  <c r="T22" i="4"/>
  <c r="U21" i="4"/>
  <c r="AV23" i="1" l="1"/>
  <c r="M22" i="4"/>
  <c r="Q23" i="4"/>
  <c r="K21" i="4"/>
  <c r="K22" i="4"/>
  <c r="N4" i="6"/>
  <c r="O6" i="6" s="1"/>
  <c r="P6" i="6"/>
  <c r="R6" i="6" s="1"/>
  <c r="O1" i="1"/>
  <c r="P1" i="1" s="1"/>
  <c r="N3" i="1" s="1"/>
  <c r="I36" i="1" s="1"/>
  <c r="AT7" i="1"/>
  <c r="AS7" i="1"/>
  <c r="AJ6" i="1"/>
  <c r="AK5" i="1"/>
  <c r="AL5" i="1" s="1"/>
  <c r="Z11" i="1"/>
  <c r="AC10" i="1"/>
  <c r="AB10" i="1"/>
  <c r="AA11" i="1"/>
  <c r="AT19" i="4"/>
  <c r="AS19" i="4"/>
  <c r="AR19" i="4"/>
  <c r="AS16" i="4"/>
  <c r="AR16" i="4"/>
  <c r="AT16" i="4"/>
  <c r="AT18" i="4"/>
  <c r="AS18" i="4"/>
  <c r="AR18" i="4"/>
  <c r="AT20" i="4"/>
  <c r="AS20" i="4"/>
  <c r="AR20" i="4"/>
  <c r="AR17" i="4"/>
  <c r="AT17" i="4"/>
  <c r="AS17" i="4"/>
  <c r="S23" i="4"/>
  <c r="T23" i="4"/>
  <c r="R23" i="4"/>
  <c r="AV24" i="1" l="1"/>
  <c r="Q24" i="4"/>
  <c r="J22" i="4"/>
  <c r="J23" i="4" s="1"/>
  <c r="M23" i="4"/>
  <c r="K23" i="4" s="1"/>
  <c r="U22" i="4"/>
  <c r="I23" i="4"/>
  <c r="V7" i="1"/>
  <c r="V11" i="1" s="1"/>
  <c r="C29" i="1" s="1"/>
  <c r="F28" i="1"/>
  <c r="I28" i="1" s="1"/>
  <c r="F23" i="1"/>
  <c r="N2" i="1"/>
  <c r="H36" i="1" s="1"/>
  <c r="M2" i="1"/>
  <c r="V3" i="1"/>
  <c r="T9" i="1" s="1"/>
  <c r="P7" i="6"/>
  <c r="R7" i="6" s="1"/>
  <c r="N7" i="6"/>
  <c r="O7" i="6"/>
  <c r="AT8" i="1"/>
  <c r="AS8" i="1"/>
  <c r="AJ7" i="1"/>
  <c r="AK6" i="1"/>
  <c r="AL6" i="1" s="1"/>
  <c r="Z12" i="1"/>
  <c r="AC11" i="1"/>
  <c r="AB11" i="1"/>
  <c r="AA12" i="1"/>
  <c r="T24" i="4"/>
  <c r="S24" i="4"/>
  <c r="R24" i="4"/>
  <c r="I24" i="4" s="1"/>
  <c r="AV25" i="1" l="1"/>
  <c r="Q25" i="4"/>
  <c r="M24" i="4"/>
  <c r="K24" i="4" s="1"/>
  <c r="I30" i="1"/>
  <c r="I29" i="1"/>
  <c r="I32" i="1" s="1"/>
  <c r="I31" i="1"/>
  <c r="M3" i="1"/>
  <c r="M4" i="1" s="1"/>
  <c r="U9" i="1" s="1"/>
  <c r="U7" i="1"/>
  <c r="E28" i="1"/>
  <c r="T10" i="1"/>
  <c r="T11" i="1" s="1"/>
  <c r="F14" i="1"/>
  <c r="F18" i="1" s="1"/>
  <c r="F24" i="1" s="1"/>
  <c r="I21" i="1" s="1"/>
  <c r="F26" i="1" s="1"/>
  <c r="I34" i="1" s="1"/>
  <c r="U2" i="1"/>
  <c r="AH44" i="1" s="1"/>
  <c r="P8" i="6"/>
  <c r="R8" i="6" s="1"/>
  <c r="S7" i="6" s="1"/>
  <c r="N8" i="6"/>
  <c r="O8" i="6"/>
  <c r="S6" i="6"/>
  <c r="AS9" i="1"/>
  <c r="AT9" i="1"/>
  <c r="AJ8" i="1"/>
  <c r="AK7" i="1"/>
  <c r="AL7" i="1" s="1"/>
  <c r="Z13" i="1"/>
  <c r="AC12" i="1"/>
  <c r="AB12" i="1"/>
  <c r="AA13" i="1"/>
  <c r="R25" i="4"/>
  <c r="I25" i="4" s="1"/>
  <c r="S25" i="4"/>
  <c r="T25" i="4"/>
  <c r="U23" i="4"/>
  <c r="H28" i="1" l="1"/>
  <c r="H31" i="1" s="1"/>
  <c r="AV26" i="1"/>
  <c r="Q26" i="4"/>
  <c r="J24" i="4"/>
  <c r="J25" i="4" s="1"/>
  <c r="M25" i="4"/>
  <c r="H30" i="1"/>
  <c r="H29" i="1"/>
  <c r="H32" i="1" s="1"/>
  <c r="I37" i="1"/>
  <c r="I40" i="1" s="1"/>
  <c r="I20" i="1"/>
  <c r="V9" i="1"/>
  <c r="AH32" i="1"/>
  <c r="AH46" i="1"/>
  <c r="AH45" i="1"/>
  <c r="AH10" i="1"/>
  <c r="AH39" i="1"/>
  <c r="AH8" i="1"/>
  <c r="AH11" i="1"/>
  <c r="AH4" i="1"/>
  <c r="AH31" i="1"/>
  <c r="AH34" i="1"/>
  <c r="AH23" i="1"/>
  <c r="AH29" i="1"/>
  <c r="AH35" i="1"/>
  <c r="AH5" i="1"/>
  <c r="AH51" i="1"/>
  <c r="AH6" i="1"/>
  <c r="AH7" i="1"/>
  <c r="AH26" i="1"/>
  <c r="AH17" i="1"/>
  <c r="AH41" i="1"/>
  <c r="AH48" i="1"/>
  <c r="AH42" i="1"/>
  <c r="AH54" i="1"/>
  <c r="AH16" i="1"/>
  <c r="AH40" i="1"/>
  <c r="AH18" i="1"/>
  <c r="AH33" i="1"/>
  <c r="AH13" i="1"/>
  <c r="AH28" i="1"/>
  <c r="AH47" i="1"/>
  <c r="AH12" i="1"/>
  <c r="AH38" i="1"/>
  <c r="AH30" i="1"/>
  <c r="AH53" i="1"/>
  <c r="AH20" i="1"/>
  <c r="AH37" i="1"/>
  <c r="AH9" i="1"/>
  <c r="AH27" i="1"/>
  <c r="AH14" i="1"/>
  <c r="AH43" i="1"/>
  <c r="AH25" i="1"/>
  <c r="AH50" i="1"/>
  <c r="AH19" i="1"/>
  <c r="AH21" i="1"/>
  <c r="AH22" i="1"/>
  <c r="AH24" i="1"/>
  <c r="AH52" i="1"/>
  <c r="AH36" i="1"/>
  <c r="AH49" i="1"/>
  <c r="U8" i="1"/>
  <c r="AH15" i="1"/>
  <c r="N9" i="6"/>
  <c r="O9" i="6"/>
  <c r="P9" i="6"/>
  <c r="R9" i="6" s="1"/>
  <c r="S8" i="6"/>
  <c r="AT10" i="1"/>
  <c r="AS10" i="1"/>
  <c r="AJ9" i="1"/>
  <c r="AK8" i="1"/>
  <c r="AL8" i="1" s="1"/>
  <c r="Z14" i="1"/>
  <c r="AC13" i="1"/>
  <c r="AB13" i="1"/>
  <c r="AA14" i="1"/>
  <c r="R26" i="4"/>
  <c r="I26" i="4" s="1"/>
  <c r="T26" i="4"/>
  <c r="S26" i="4"/>
  <c r="U24" i="4"/>
  <c r="AV27" i="1" l="1"/>
  <c r="Q27" i="4"/>
  <c r="J26" i="4"/>
  <c r="K25" i="4"/>
  <c r="M26" i="4"/>
  <c r="K26" i="4" s="1"/>
  <c r="E26" i="1"/>
  <c r="H34" i="1" s="1"/>
  <c r="F29" i="1"/>
  <c r="P10" i="6"/>
  <c r="R10" i="6" s="1"/>
  <c r="O10" i="6"/>
  <c r="N10" i="6"/>
  <c r="AT11" i="1"/>
  <c r="AS11" i="1"/>
  <c r="AJ10" i="1"/>
  <c r="AK9" i="1"/>
  <c r="AL9" i="1" s="1"/>
  <c r="Z15" i="1"/>
  <c r="AC14" i="1"/>
  <c r="AB14" i="1"/>
  <c r="AA15" i="1"/>
  <c r="R27" i="4"/>
  <c r="I27" i="4" s="1"/>
  <c r="T27" i="4"/>
  <c r="S27" i="4"/>
  <c r="U25" i="4"/>
  <c r="F32" i="1" l="1"/>
  <c r="AV28" i="1"/>
  <c r="Q28" i="4"/>
  <c r="J27" i="4"/>
  <c r="M27" i="4"/>
  <c r="K27" i="4" s="1"/>
  <c r="I39" i="1"/>
  <c r="I38" i="1"/>
  <c r="H39" i="1"/>
  <c r="H38" i="1"/>
  <c r="E30" i="1"/>
  <c r="E31" i="1"/>
  <c r="F30" i="1"/>
  <c r="F31" i="1"/>
  <c r="H37" i="1"/>
  <c r="H40" i="1" s="1"/>
  <c r="E29" i="1"/>
  <c r="O11" i="6"/>
  <c r="N11" i="6"/>
  <c r="P11" i="6"/>
  <c r="R11" i="6" s="1"/>
  <c r="S9" i="6"/>
  <c r="AT12" i="1"/>
  <c r="AS12" i="1"/>
  <c r="AJ11" i="1"/>
  <c r="AK10" i="1"/>
  <c r="AL10" i="1" s="1"/>
  <c r="Z16" i="1"/>
  <c r="AC15" i="1"/>
  <c r="AB15" i="1"/>
  <c r="AA16" i="1"/>
  <c r="R28" i="4"/>
  <c r="I28" i="4" s="1"/>
  <c r="T28" i="4"/>
  <c r="S28" i="4"/>
  <c r="U26" i="4"/>
  <c r="E32" i="1" l="1"/>
  <c r="C28" i="1"/>
  <c r="AW9" i="1" s="1"/>
  <c r="AV29" i="1"/>
  <c r="J28" i="4"/>
  <c r="J29" i="4" s="1"/>
  <c r="M28" i="4"/>
  <c r="K28" i="4" s="1"/>
  <c r="P12" i="6"/>
  <c r="R12" i="6" s="1"/>
  <c r="N12" i="6"/>
  <c r="O12" i="6"/>
  <c r="AT13" i="1"/>
  <c r="AS13" i="1"/>
  <c r="AJ12" i="1"/>
  <c r="AK11" i="1"/>
  <c r="AL11" i="1" s="1"/>
  <c r="Z17" i="1"/>
  <c r="AC16" i="1"/>
  <c r="AB16" i="1"/>
  <c r="AA17" i="1"/>
  <c r="U28" i="4"/>
  <c r="U27" i="4"/>
  <c r="AW23" i="1" l="1"/>
  <c r="AW19" i="1"/>
  <c r="AW15" i="1"/>
  <c r="AW11" i="1"/>
  <c r="AW7" i="1"/>
  <c r="AW28" i="1"/>
  <c r="AW22" i="1"/>
  <c r="AW14" i="1"/>
  <c r="AW10" i="1"/>
  <c r="AW6" i="1"/>
  <c r="AW26" i="1"/>
  <c r="AX28" i="1"/>
  <c r="AW17" i="1"/>
  <c r="AW5" i="1"/>
  <c r="AW3" i="1"/>
  <c r="AX26" i="1"/>
  <c r="AX8" i="1"/>
  <c r="AX12" i="1"/>
  <c r="AX16" i="1"/>
  <c r="AX20" i="1"/>
  <c r="AX24" i="1"/>
  <c r="AX5" i="1"/>
  <c r="AX9" i="1"/>
  <c r="AX13" i="1"/>
  <c r="AX17" i="1"/>
  <c r="AX21" i="1"/>
  <c r="AX25" i="1"/>
  <c r="AX6" i="1"/>
  <c r="AX10" i="1"/>
  <c r="AX14" i="1"/>
  <c r="AX18" i="1"/>
  <c r="AX22" i="1"/>
  <c r="AX27" i="1"/>
  <c r="AX7" i="1"/>
  <c r="AX11" i="1"/>
  <c r="AX15" i="1"/>
  <c r="AX19" i="1"/>
  <c r="AX23" i="1"/>
  <c r="AW18" i="1"/>
  <c r="AW25" i="1"/>
  <c r="AW21" i="1"/>
  <c r="AW13" i="1"/>
  <c r="AW24" i="1"/>
  <c r="AW20" i="1"/>
  <c r="AW16" i="1"/>
  <c r="AW12" i="1"/>
  <c r="AW8" i="1"/>
  <c r="AW27" i="1"/>
  <c r="AV30" i="1"/>
  <c r="AX29" i="1"/>
  <c r="AW29" i="1"/>
  <c r="O13" i="6"/>
  <c r="N13" i="6"/>
  <c r="P13" i="6"/>
  <c r="R13" i="6" s="1"/>
  <c r="S12" i="6" s="1"/>
  <c r="S11" i="6"/>
  <c r="AS14" i="1"/>
  <c r="AT14" i="1"/>
  <c r="AJ13" i="1"/>
  <c r="AK12" i="1"/>
  <c r="AL12" i="1" s="1"/>
  <c r="Z18" i="1"/>
  <c r="AC17" i="1"/>
  <c r="AB17" i="1"/>
  <c r="AA18" i="1"/>
  <c r="U18" i="4"/>
  <c r="U19" i="4" s="1"/>
  <c r="W18" i="4" s="1"/>
  <c r="D11" i="1" s="1"/>
  <c r="T6" i="1" s="1"/>
  <c r="N2" i="6" s="1"/>
  <c r="AW30" i="1" l="1"/>
  <c r="AV31" i="1"/>
  <c r="AX30" i="1"/>
  <c r="Q6" i="6"/>
  <c r="Q7" i="6"/>
  <c r="Q8" i="6"/>
  <c r="Q9" i="6"/>
  <c r="Q10" i="6"/>
  <c r="S10" i="6" s="1"/>
  <c r="Q11" i="6"/>
  <c r="Q12" i="6"/>
  <c r="Q13" i="6"/>
  <c r="P14" i="6"/>
  <c r="R14" i="6" s="1"/>
  <c r="O14" i="6"/>
  <c r="N14" i="6"/>
  <c r="AT15" i="1"/>
  <c r="AS15" i="1"/>
  <c r="AJ14" i="1"/>
  <c r="AK13" i="1"/>
  <c r="AL13" i="1" s="1"/>
  <c r="Z19" i="1"/>
  <c r="AC18" i="1"/>
  <c r="AB18" i="1"/>
  <c r="AA19" i="1"/>
  <c r="AX31" i="1" l="1"/>
  <c r="AW31" i="1"/>
  <c r="AV32" i="1"/>
  <c r="Q14" i="6"/>
  <c r="P15" i="6"/>
  <c r="R15" i="6" s="1"/>
  <c r="O15" i="6"/>
  <c r="N15" i="6"/>
  <c r="S14" i="6"/>
  <c r="S13" i="6"/>
  <c r="AS16" i="1"/>
  <c r="AT16" i="1"/>
  <c r="AJ15" i="1"/>
  <c r="AK14" i="1"/>
  <c r="AL14" i="1" s="1"/>
  <c r="Z20" i="1"/>
  <c r="AC19" i="1"/>
  <c r="AB19" i="1"/>
  <c r="AA20" i="1"/>
  <c r="AV33" i="1" l="1"/>
  <c r="AX32" i="1"/>
  <c r="AW32" i="1"/>
  <c r="Q15" i="6"/>
  <c r="N16" i="6"/>
  <c r="O16" i="6"/>
  <c r="P16" i="6"/>
  <c r="R16" i="6" s="1"/>
  <c r="S15" i="6" s="1"/>
  <c r="AS17" i="1"/>
  <c r="AT17" i="1"/>
  <c r="AJ16" i="1"/>
  <c r="AK15" i="1"/>
  <c r="AL15" i="1" s="1"/>
  <c r="Z21" i="1"/>
  <c r="AC20" i="1"/>
  <c r="AB20" i="1"/>
  <c r="AA21" i="1"/>
  <c r="AV34" i="1" l="1"/>
  <c r="AX33" i="1"/>
  <c r="AW33" i="1"/>
  <c r="Q16" i="6"/>
  <c r="O17" i="6"/>
  <c r="N17" i="6"/>
  <c r="P17" i="6"/>
  <c r="R17" i="6" s="1"/>
  <c r="AT18" i="1"/>
  <c r="AS18" i="1"/>
  <c r="AJ17" i="1"/>
  <c r="AK16" i="1"/>
  <c r="AL16" i="1" s="1"/>
  <c r="Z22" i="1"/>
  <c r="AC21" i="1"/>
  <c r="AB21" i="1"/>
  <c r="AA22" i="1"/>
  <c r="AW34" i="1" l="1"/>
  <c r="AV35" i="1"/>
  <c r="AX34" i="1"/>
  <c r="Q17" i="6"/>
  <c r="O18" i="6"/>
  <c r="P18" i="6"/>
  <c r="R18" i="6" s="1"/>
  <c r="S17" i="6" s="1"/>
  <c r="N18" i="6"/>
  <c r="S16" i="6"/>
  <c r="AT19" i="1"/>
  <c r="AS19" i="1"/>
  <c r="AK17" i="1"/>
  <c r="AL17" i="1" s="1"/>
  <c r="AJ18" i="1"/>
  <c r="Z23" i="1"/>
  <c r="AC22" i="1"/>
  <c r="AB22" i="1"/>
  <c r="AA23" i="1"/>
  <c r="AX35" i="1" l="1"/>
  <c r="AW35" i="1"/>
  <c r="AV36" i="1"/>
  <c r="T5" i="6"/>
  <c r="AT20" i="1"/>
  <c r="AS20" i="1"/>
  <c r="AK18" i="1"/>
  <c r="AL18" i="1" s="1"/>
  <c r="AJ19" i="1"/>
  <c r="Z24" i="1"/>
  <c r="AC23" i="1"/>
  <c r="AB23" i="1"/>
  <c r="AA24" i="1"/>
  <c r="AV37" i="1" l="1"/>
  <c r="AX36" i="1"/>
  <c r="AW36" i="1"/>
  <c r="T10" i="6"/>
  <c r="T9" i="6" s="1"/>
  <c r="T8" i="6" s="1"/>
  <c r="T7" i="6" s="1"/>
  <c r="T6" i="6" s="1"/>
  <c r="U6" i="6" s="1"/>
  <c r="T17" i="6"/>
  <c r="T16" i="6" s="1"/>
  <c r="T15" i="6" s="1"/>
  <c r="T14" i="6" s="1"/>
  <c r="T13" i="6" s="1"/>
  <c r="T12" i="6" s="1"/>
  <c r="T11" i="6" s="1"/>
  <c r="AS21" i="1"/>
  <c r="AT21" i="1"/>
  <c r="AK19" i="1"/>
  <c r="AL19" i="1" s="1"/>
  <c r="AJ20" i="1"/>
  <c r="Z25" i="1"/>
  <c r="AC24" i="1"/>
  <c r="AB24" i="1"/>
  <c r="AA25" i="1"/>
  <c r="AV38" i="1" l="1"/>
  <c r="AX37" i="1"/>
  <c r="AW37" i="1"/>
  <c r="R6" i="1"/>
  <c r="AS22" i="1"/>
  <c r="AT22" i="1"/>
  <c r="AK20" i="1"/>
  <c r="AL20" i="1" s="1"/>
  <c r="AJ21" i="1"/>
  <c r="Z26" i="1"/>
  <c r="AC25" i="1"/>
  <c r="AB25" i="1"/>
  <c r="AA26" i="1"/>
  <c r="AW38" i="1" l="1"/>
  <c r="AV39" i="1"/>
  <c r="AX38" i="1"/>
  <c r="M6" i="1"/>
  <c r="R7" i="1"/>
  <c r="S7" i="1"/>
  <c r="L6" i="1" s="1"/>
  <c r="AT23" i="1"/>
  <c r="AS23" i="1"/>
  <c r="AK21" i="1"/>
  <c r="AL21" i="1" s="1"/>
  <c r="AJ22" i="1"/>
  <c r="Z27" i="1"/>
  <c r="AC26" i="1"/>
  <c r="AB26" i="1"/>
  <c r="AA27" i="1"/>
  <c r="AX39" i="1" l="1"/>
  <c r="AW39" i="1"/>
  <c r="AV40" i="1"/>
  <c r="U72" i="1"/>
  <c r="S72" i="1"/>
  <c r="V72" i="1"/>
  <c r="T72" i="1"/>
  <c r="T55" i="1"/>
  <c r="T56" i="1" s="1"/>
  <c r="T57" i="1" s="1"/>
  <c r="T58" i="1"/>
  <c r="V57" i="1"/>
  <c r="S64" i="1"/>
  <c r="AT24" i="1"/>
  <c r="AS24" i="1"/>
  <c r="AK22" i="1"/>
  <c r="AL22" i="1" s="1"/>
  <c r="AJ23" i="1"/>
  <c r="Z28" i="1"/>
  <c r="AC27" i="1"/>
  <c r="AB27" i="1"/>
  <c r="AA28" i="1"/>
  <c r="AV41" i="1" l="1"/>
  <c r="AX40" i="1"/>
  <c r="AW40" i="1"/>
  <c r="T75" i="1"/>
  <c r="T74" i="1"/>
  <c r="T73" i="1"/>
  <c r="T76" i="1" s="1"/>
  <c r="S75" i="1"/>
  <c r="S74" i="1"/>
  <c r="S73" i="1"/>
  <c r="S76" i="1" s="1"/>
  <c r="T64" i="1"/>
  <c r="T59" i="1"/>
  <c r="T61" i="1" s="1"/>
  <c r="V69" i="1" s="1"/>
  <c r="V70" i="1" s="1"/>
  <c r="V73" i="1" s="1"/>
  <c r="V76" i="1" s="1"/>
  <c r="V58" i="1"/>
  <c r="AT25" i="1"/>
  <c r="AS25" i="1"/>
  <c r="AK23" i="1"/>
  <c r="AL23" i="1" s="1"/>
  <c r="AJ24" i="1"/>
  <c r="Z29" i="1"/>
  <c r="AC28" i="1"/>
  <c r="AB28" i="1"/>
  <c r="AA29" i="1"/>
  <c r="AV42" i="1" l="1"/>
  <c r="AX41" i="1"/>
  <c r="AW41" i="1"/>
  <c r="S61" i="1"/>
  <c r="U69" i="1" s="1"/>
  <c r="U70" i="1" s="1"/>
  <c r="T62" i="1"/>
  <c r="AT26" i="1"/>
  <c r="AS26" i="1"/>
  <c r="AK24" i="1"/>
  <c r="AL24" i="1" s="1"/>
  <c r="AJ25" i="1"/>
  <c r="Z30" i="1"/>
  <c r="AC29" i="1"/>
  <c r="AB29" i="1"/>
  <c r="AA30" i="1"/>
  <c r="AW42" i="1" l="1"/>
  <c r="AV43" i="1"/>
  <c r="AX42" i="1"/>
  <c r="V74" i="1"/>
  <c r="U73" i="1"/>
  <c r="U76" i="1" s="1"/>
  <c r="V75" i="1"/>
  <c r="U74" i="1"/>
  <c r="U75" i="1"/>
  <c r="T65" i="1"/>
  <c r="T68" i="1" s="1"/>
  <c r="S62" i="1"/>
  <c r="S67" i="1" s="1"/>
  <c r="AT27" i="1"/>
  <c r="AS27" i="1"/>
  <c r="AK25" i="1"/>
  <c r="AL25" i="1" s="1"/>
  <c r="AJ26" i="1"/>
  <c r="AC30" i="1"/>
  <c r="Z31" i="1"/>
  <c r="AB30" i="1"/>
  <c r="AA31" i="1"/>
  <c r="AX43" i="1" l="1"/>
  <c r="AW43" i="1"/>
  <c r="AV44" i="1"/>
  <c r="S66" i="1"/>
  <c r="T67" i="1"/>
  <c r="T66" i="1"/>
  <c r="S65" i="1"/>
  <c r="S68" i="1" s="1"/>
  <c r="AT28" i="1"/>
  <c r="AS28" i="1"/>
  <c r="AK26" i="1"/>
  <c r="AL26" i="1" s="1"/>
  <c r="AJ27" i="1"/>
  <c r="AC31" i="1"/>
  <c r="AB31" i="1"/>
  <c r="Z32" i="1"/>
  <c r="AA32" i="1"/>
  <c r="AV45" i="1" l="1"/>
  <c r="AX44" i="1"/>
  <c r="AW44" i="1"/>
  <c r="AS29" i="1"/>
  <c r="AT29" i="1"/>
  <c r="AK27" i="1"/>
  <c r="AL27" i="1" s="1"/>
  <c r="AJ28" i="1"/>
  <c r="AC32" i="1"/>
  <c r="AB32" i="1"/>
  <c r="Z33" i="1"/>
  <c r="AA33" i="1"/>
  <c r="AV46" i="1" l="1"/>
  <c r="AX45" i="1"/>
  <c r="AW45" i="1"/>
  <c r="AS30" i="1"/>
  <c r="AT30" i="1"/>
  <c r="AK28" i="1"/>
  <c r="AL28" i="1" s="1"/>
  <c r="AJ29" i="1"/>
  <c r="AC33" i="1"/>
  <c r="AB33" i="1"/>
  <c r="Z34" i="1"/>
  <c r="AA34" i="1"/>
  <c r="AW46" i="1" l="1"/>
  <c r="AV47" i="1"/>
  <c r="AX46" i="1"/>
  <c r="AT31" i="1"/>
  <c r="AS31" i="1"/>
  <c r="AK29" i="1"/>
  <c r="AL29" i="1" s="1"/>
  <c r="AJ30" i="1"/>
  <c r="AC34" i="1"/>
  <c r="AB34" i="1"/>
  <c r="Z35" i="1"/>
  <c r="AA35" i="1"/>
  <c r="AX47" i="1" l="1"/>
  <c r="AW47" i="1"/>
  <c r="AV48" i="1"/>
  <c r="AT32" i="1"/>
  <c r="AS32" i="1"/>
  <c r="AK30" i="1"/>
  <c r="AL30" i="1" s="1"/>
  <c r="AJ31" i="1"/>
  <c r="AC35" i="1"/>
  <c r="AB35" i="1"/>
  <c r="Z36" i="1"/>
  <c r="AA36" i="1"/>
  <c r="AV49" i="1" l="1"/>
  <c r="AX48" i="1"/>
  <c r="AW48" i="1"/>
  <c r="AS33" i="1"/>
  <c r="AT33" i="1"/>
  <c r="AK31" i="1"/>
  <c r="AL31" i="1" s="1"/>
  <c r="AJ32" i="1"/>
  <c r="AC36" i="1"/>
  <c r="AB36" i="1"/>
  <c r="Z37" i="1"/>
  <c r="AA37" i="1"/>
  <c r="AV50" i="1" l="1"/>
  <c r="AX49" i="1"/>
  <c r="AW49" i="1"/>
  <c r="AT34" i="1"/>
  <c r="AS34" i="1"/>
  <c r="AK32" i="1"/>
  <c r="AL32" i="1" s="1"/>
  <c r="AJ33" i="1"/>
  <c r="AC37" i="1"/>
  <c r="AB37" i="1"/>
  <c r="Z38" i="1"/>
  <c r="AA38" i="1"/>
  <c r="AW50" i="1" l="1"/>
  <c r="AV51" i="1"/>
  <c r="AX50" i="1"/>
  <c r="AT35" i="1"/>
  <c r="AS35" i="1"/>
  <c r="AK33" i="1"/>
  <c r="AL33" i="1" s="1"/>
  <c r="AJ34" i="1"/>
  <c r="AC38" i="1"/>
  <c r="AB38" i="1"/>
  <c r="Z39" i="1"/>
  <c r="AA39" i="1"/>
  <c r="AX51" i="1" l="1"/>
  <c r="AW51" i="1"/>
  <c r="AV52" i="1"/>
  <c r="AT36" i="1"/>
  <c r="AS36" i="1"/>
  <c r="AK34" i="1"/>
  <c r="AL34" i="1" s="1"/>
  <c r="AJ35" i="1"/>
  <c r="AC39" i="1"/>
  <c r="AB39" i="1"/>
  <c r="Z40" i="1"/>
  <c r="AA40" i="1"/>
  <c r="AV53" i="1" l="1"/>
  <c r="AX52" i="1"/>
  <c r="AW52" i="1"/>
  <c r="AT37" i="1"/>
  <c r="AS37" i="1"/>
  <c r="AK35" i="1"/>
  <c r="AL35" i="1" s="1"/>
  <c r="AJ36" i="1"/>
  <c r="AC40" i="1"/>
  <c r="AB40" i="1"/>
  <c r="Z41" i="1"/>
  <c r="AA41" i="1"/>
  <c r="AV54" i="1" l="1"/>
  <c r="AX53" i="1"/>
  <c r="AW53" i="1"/>
  <c r="AS38" i="1"/>
  <c r="AT38" i="1"/>
  <c r="AK36" i="1"/>
  <c r="AL36" i="1" s="1"/>
  <c r="AJ37" i="1"/>
  <c r="AC41" i="1"/>
  <c r="AB41" i="1"/>
  <c r="Z42" i="1"/>
  <c r="AA42" i="1"/>
  <c r="AW54" i="1" l="1"/>
  <c r="AV55" i="1"/>
  <c r="AX54" i="1"/>
  <c r="AT39" i="1"/>
  <c r="AS39" i="1"/>
  <c r="AK37" i="1"/>
  <c r="AL37" i="1" s="1"/>
  <c r="AJ38" i="1"/>
  <c r="AC42" i="1"/>
  <c r="AB42" i="1"/>
  <c r="Z43" i="1"/>
  <c r="AA43" i="1"/>
  <c r="AX55" i="1" l="1"/>
  <c r="AW55" i="1"/>
  <c r="AT40" i="1"/>
  <c r="AS40" i="1"/>
  <c r="AK38" i="1"/>
  <c r="AL38" i="1" s="1"/>
  <c r="AJ39" i="1"/>
  <c r="AC43" i="1"/>
  <c r="AB43" i="1"/>
  <c r="Z44" i="1"/>
  <c r="AA44" i="1"/>
  <c r="AS41" i="1" l="1"/>
  <c r="AT41" i="1"/>
  <c r="AK39" i="1"/>
  <c r="AL39" i="1" s="1"/>
  <c r="AJ40" i="1"/>
  <c r="AC44" i="1"/>
  <c r="AB44" i="1"/>
  <c r="Z45" i="1"/>
  <c r="AA45" i="1"/>
  <c r="AT42" i="1" l="1"/>
  <c r="AS42" i="1"/>
  <c r="AK40" i="1"/>
  <c r="AL40" i="1" s="1"/>
  <c r="AJ41" i="1"/>
  <c r="AC45" i="1"/>
  <c r="AB45" i="1"/>
  <c r="Z46" i="1"/>
  <c r="AA46" i="1"/>
  <c r="AT43" i="1" l="1"/>
  <c r="AS43" i="1"/>
  <c r="AK41" i="1"/>
  <c r="AL41" i="1" s="1"/>
  <c r="AJ42" i="1"/>
  <c r="AC46" i="1"/>
  <c r="AB46" i="1"/>
  <c r="Z47" i="1"/>
  <c r="AA47" i="1"/>
  <c r="AT44" i="1" l="1"/>
  <c r="AS44" i="1"/>
  <c r="AK42" i="1"/>
  <c r="AL42" i="1" s="1"/>
  <c r="AJ43" i="1"/>
  <c r="AC47" i="1"/>
  <c r="AB47" i="1"/>
  <c r="Z48" i="1"/>
  <c r="AA48" i="1"/>
  <c r="AS45" i="1" l="1"/>
  <c r="AT45" i="1"/>
  <c r="AK43" i="1"/>
  <c r="AL43" i="1" s="1"/>
  <c r="AJ44" i="1"/>
  <c r="AC48" i="1"/>
  <c r="AB48" i="1"/>
  <c r="Z49" i="1"/>
  <c r="AA49" i="1"/>
  <c r="AS46" i="1" l="1"/>
  <c r="AT46" i="1"/>
  <c r="AK44" i="1"/>
  <c r="AL44" i="1" s="1"/>
  <c r="AJ45" i="1"/>
  <c r="AC49" i="1"/>
  <c r="AB49" i="1"/>
  <c r="Z50" i="1"/>
  <c r="AA50" i="1"/>
  <c r="AT47" i="1" l="1"/>
  <c r="AS47" i="1"/>
  <c r="AK45" i="1"/>
  <c r="AL45" i="1" s="1"/>
  <c r="AJ46" i="1"/>
  <c r="AC50" i="1"/>
  <c r="AB50" i="1"/>
  <c r="Z51" i="1"/>
  <c r="AA51" i="1"/>
  <c r="AT48" i="1" l="1"/>
  <c r="AS48" i="1"/>
  <c r="AK46" i="1"/>
  <c r="AL46" i="1" s="1"/>
  <c r="AJ47" i="1"/>
  <c r="AC51" i="1"/>
  <c r="AB51" i="1"/>
  <c r="Z52" i="1"/>
  <c r="AA52" i="1"/>
  <c r="AT49" i="1" l="1"/>
  <c r="AS49" i="1"/>
  <c r="AK47" i="1"/>
  <c r="AL47" i="1" s="1"/>
  <c r="AJ48" i="1"/>
  <c r="AC52" i="1"/>
  <c r="AB52" i="1"/>
  <c r="Z53" i="1"/>
  <c r="AA53" i="1"/>
  <c r="AT50" i="1" l="1"/>
  <c r="AS50" i="1"/>
  <c r="AK48" i="1"/>
  <c r="AL48" i="1" s="1"/>
  <c r="AJ49" i="1"/>
  <c r="AC53" i="1"/>
  <c r="AB53" i="1"/>
  <c r="Z54" i="1"/>
  <c r="AA54" i="1"/>
  <c r="AT51" i="1" l="1"/>
  <c r="AS51" i="1"/>
  <c r="AK49" i="1"/>
  <c r="AL49" i="1" s="1"/>
  <c r="AJ50" i="1"/>
  <c r="AC54" i="1"/>
  <c r="AB54" i="1"/>
  <c r="Z55" i="1"/>
  <c r="AA55" i="1"/>
  <c r="AT52" i="1" l="1"/>
  <c r="AS52" i="1"/>
  <c r="AK50" i="1"/>
  <c r="AL50" i="1" s="1"/>
  <c r="AJ51" i="1"/>
  <c r="AC55" i="1"/>
  <c r="AB55" i="1"/>
  <c r="Z56" i="1"/>
  <c r="AA56" i="1"/>
  <c r="AT53" i="1" l="1"/>
  <c r="AS53" i="1"/>
  <c r="AK51" i="1"/>
  <c r="AL51" i="1" s="1"/>
  <c r="AJ52" i="1"/>
  <c r="AC56" i="1"/>
  <c r="AB56" i="1"/>
  <c r="Z57" i="1"/>
  <c r="AA57" i="1"/>
  <c r="AS54" i="1" l="1"/>
  <c r="AT54" i="1"/>
  <c r="AK52" i="1"/>
  <c r="AL52" i="1" s="1"/>
  <c r="AJ53" i="1"/>
  <c r="AC57" i="1"/>
  <c r="AB57" i="1"/>
  <c r="Z58" i="1"/>
  <c r="AA58" i="1"/>
  <c r="AT55" i="1" l="1"/>
  <c r="AS55" i="1"/>
  <c r="AK53" i="1"/>
  <c r="AL53" i="1" s="1"/>
  <c r="AJ54" i="1"/>
  <c r="AC58" i="1"/>
  <c r="AB58" i="1"/>
  <c r="Z59" i="1"/>
  <c r="AA59" i="1"/>
  <c r="AT56" i="1" l="1"/>
  <c r="AS56" i="1"/>
  <c r="AK54" i="1"/>
  <c r="AL54" i="1" s="1"/>
  <c r="AJ55" i="1"/>
  <c r="AC59" i="1"/>
  <c r="AB59" i="1"/>
  <c r="Z60" i="1"/>
  <c r="AA60" i="1"/>
  <c r="AS57" i="1" l="1"/>
  <c r="AT57" i="1"/>
  <c r="AK55" i="1"/>
  <c r="AL55" i="1" s="1"/>
  <c r="AJ56" i="1"/>
  <c r="AC60" i="1"/>
  <c r="AB60" i="1"/>
  <c r="Z61" i="1"/>
  <c r="AA61" i="1"/>
  <c r="AT58" i="1" l="1"/>
  <c r="AS58" i="1"/>
  <c r="AK56" i="1"/>
  <c r="AL56" i="1" s="1"/>
  <c r="AJ57" i="1"/>
  <c r="AC61" i="1"/>
  <c r="AB61" i="1"/>
  <c r="Z62" i="1"/>
  <c r="AA62" i="1"/>
  <c r="AT59" i="1" l="1"/>
  <c r="AS59" i="1"/>
  <c r="AK57" i="1"/>
  <c r="AL57" i="1" s="1"/>
  <c r="AJ58" i="1"/>
  <c r="AC62" i="1"/>
  <c r="AB62" i="1"/>
  <c r="Z63" i="1"/>
  <c r="AA63" i="1"/>
  <c r="AT60" i="1" l="1"/>
  <c r="AS60" i="1"/>
  <c r="AK58" i="1"/>
  <c r="AL58" i="1" s="1"/>
  <c r="AJ59" i="1"/>
  <c r="AC63" i="1"/>
  <c r="AB63" i="1"/>
  <c r="Z64" i="1"/>
  <c r="AA64" i="1"/>
  <c r="AT61" i="1" l="1"/>
  <c r="AS61" i="1"/>
  <c r="AK59" i="1"/>
  <c r="AL59" i="1" s="1"/>
  <c r="AJ60" i="1"/>
  <c r="AC64" i="1"/>
  <c r="AB64" i="1"/>
  <c r="Z65" i="1"/>
  <c r="AA65" i="1"/>
  <c r="AS62" i="1" l="1"/>
  <c r="AT62" i="1"/>
  <c r="AK60" i="1"/>
  <c r="AL60" i="1" s="1"/>
  <c r="AJ61" i="1"/>
  <c r="AC65" i="1"/>
  <c r="AB65" i="1"/>
  <c r="Z66" i="1"/>
  <c r="AA66" i="1"/>
  <c r="AT63" i="1" l="1"/>
  <c r="AS63" i="1"/>
  <c r="AK61" i="1"/>
  <c r="AL61" i="1" s="1"/>
  <c r="AJ62" i="1"/>
  <c r="AC66" i="1"/>
  <c r="AB66" i="1"/>
  <c r="Z67" i="1"/>
  <c r="AA67" i="1"/>
  <c r="AT64" i="1" l="1"/>
  <c r="AS64" i="1"/>
  <c r="AK62" i="1"/>
  <c r="AL62" i="1" s="1"/>
  <c r="AJ63" i="1"/>
  <c r="AC67" i="1"/>
  <c r="AB67" i="1"/>
  <c r="Z68" i="1"/>
  <c r="AA68" i="1"/>
  <c r="AT65" i="1" l="1"/>
  <c r="AS65" i="1"/>
  <c r="AK63" i="1"/>
  <c r="AL63" i="1" s="1"/>
  <c r="AJ64" i="1"/>
  <c r="AC68" i="1"/>
  <c r="AB68" i="1"/>
  <c r="Z69" i="1"/>
  <c r="AA69" i="1"/>
  <c r="AT66" i="1" l="1"/>
  <c r="AS66" i="1"/>
  <c r="AK64" i="1"/>
  <c r="AL64" i="1" s="1"/>
  <c r="AJ65" i="1"/>
  <c r="AC69" i="1"/>
  <c r="AB69" i="1"/>
  <c r="Z70" i="1"/>
  <c r="AA70" i="1"/>
  <c r="AT67" i="1" l="1"/>
  <c r="AS67" i="1"/>
  <c r="AK65" i="1"/>
  <c r="AL65" i="1" s="1"/>
  <c r="AJ66" i="1"/>
  <c r="AC70" i="1"/>
  <c r="AB70" i="1"/>
  <c r="Z71" i="1"/>
  <c r="AA71" i="1"/>
  <c r="AT68" i="1" l="1"/>
  <c r="AS68" i="1"/>
  <c r="AK66" i="1"/>
  <c r="AL66" i="1" s="1"/>
  <c r="AJ67" i="1"/>
  <c r="AC71" i="1"/>
  <c r="AB71" i="1"/>
  <c r="Z72" i="1"/>
  <c r="AA72" i="1"/>
  <c r="AT69" i="1" l="1"/>
  <c r="AS69" i="1"/>
  <c r="AK67" i="1"/>
  <c r="AL67" i="1" s="1"/>
  <c r="AJ68" i="1"/>
  <c r="AC72" i="1"/>
  <c r="AB72" i="1"/>
  <c r="Z73" i="1"/>
  <c r="AA73" i="1"/>
  <c r="AS70" i="1" l="1"/>
  <c r="AT70" i="1"/>
  <c r="AK68" i="1"/>
  <c r="AL68" i="1" s="1"/>
  <c r="AJ69" i="1"/>
  <c r="AC73" i="1"/>
  <c r="AB73" i="1"/>
  <c r="Z74" i="1"/>
  <c r="AA74" i="1"/>
  <c r="AT71" i="1" l="1"/>
  <c r="AS71" i="1"/>
  <c r="AK69" i="1"/>
  <c r="AL69" i="1" s="1"/>
  <c r="AJ70" i="1"/>
  <c r="AC74" i="1"/>
  <c r="AB74" i="1"/>
  <c r="Z75" i="1"/>
  <c r="AA75" i="1"/>
  <c r="AS72" i="1" l="1"/>
  <c r="AT72" i="1"/>
  <c r="AK70" i="1"/>
  <c r="AL70" i="1" s="1"/>
  <c r="AJ71" i="1"/>
  <c r="AC75" i="1"/>
  <c r="AB75" i="1"/>
  <c r="Z76" i="1"/>
  <c r="AA76" i="1"/>
  <c r="AT73" i="1" l="1"/>
  <c r="AS73" i="1"/>
  <c r="AK71" i="1"/>
  <c r="AL71" i="1" s="1"/>
  <c r="AJ72" i="1"/>
  <c r="AC76" i="1"/>
  <c r="AB76" i="1"/>
  <c r="Z77" i="1"/>
  <c r="AA77" i="1"/>
  <c r="AT74" i="1" l="1"/>
  <c r="AS74" i="1"/>
  <c r="AK72" i="1"/>
  <c r="AL72" i="1" s="1"/>
  <c r="AJ73" i="1"/>
  <c r="AC77" i="1"/>
  <c r="AB77" i="1"/>
  <c r="Z78" i="1"/>
  <c r="AA78" i="1"/>
  <c r="AT75" i="1" l="1"/>
  <c r="AS75" i="1"/>
  <c r="AK73" i="1"/>
  <c r="AL73" i="1" s="1"/>
  <c r="AJ74" i="1"/>
  <c r="AC78" i="1"/>
  <c r="AB78" i="1"/>
  <c r="Z79" i="1"/>
  <c r="AA79" i="1"/>
  <c r="AT76" i="1" l="1"/>
  <c r="AS76" i="1"/>
  <c r="AK74" i="1"/>
  <c r="AL74" i="1" s="1"/>
  <c r="AJ75" i="1"/>
  <c r="AC79" i="1"/>
  <c r="AB79" i="1"/>
  <c r="Z80" i="1"/>
  <c r="AA80" i="1"/>
  <c r="AT77" i="1" l="1"/>
  <c r="AS77" i="1"/>
  <c r="AK75" i="1"/>
  <c r="AL75" i="1" s="1"/>
  <c r="AJ76" i="1"/>
  <c r="AC80" i="1"/>
  <c r="AB80" i="1"/>
  <c r="Z81" i="1"/>
  <c r="AA81" i="1"/>
  <c r="AT78" i="1" l="1"/>
  <c r="AS78" i="1"/>
  <c r="AK76" i="1"/>
  <c r="AL76" i="1" s="1"/>
  <c r="AJ77" i="1"/>
  <c r="AC81" i="1"/>
  <c r="AB81" i="1"/>
  <c r="Z82" i="1"/>
  <c r="AA82" i="1"/>
  <c r="AT79" i="1" l="1"/>
  <c r="AS79" i="1"/>
  <c r="AK77" i="1"/>
  <c r="AL77" i="1" s="1"/>
  <c r="AJ78" i="1"/>
  <c r="AC82" i="1"/>
  <c r="AB82" i="1"/>
  <c r="Z83" i="1"/>
  <c r="AA83" i="1"/>
  <c r="AT80" i="1" l="1"/>
  <c r="AS80" i="1"/>
  <c r="AK78" i="1"/>
  <c r="AL78" i="1" s="1"/>
  <c r="AJ79" i="1"/>
  <c r="AC83" i="1"/>
  <c r="AB83" i="1"/>
  <c r="Z84" i="1"/>
  <c r="AA84" i="1"/>
  <c r="AS81" i="1" l="1"/>
  <c r="AT81" i="1"/>
  <c r="AK79" i="1"/>
  <c r="AL79" i="1" s="1"/>
  <c r="AJ80" i="1"/>
  <c r="AC84" i="1"/>
  <c r="AB84" i="1"/>
  <c r="Z85" i="1"/>
  <c r="AA85" i="1"/>
  <c r="AS82" i="1" l="1"/>
  <c r="AT82" i="1"/>
  <c r="AK80" i="1"/>
  <c r="AL80" i="1" s="1"/>
  <c r="AJ81" i="1"/>
  <c r="AC85" i="1"/>
  <c r="AB85" i="1"/>
  <c r="Z86" i="1"/>
  <c r="AA86" i="1"/>
  <c r="AT83" i="1" l="1"/>
  <c r="AS83" i="1"/>
  <c r="AK81" i="1"/>
  <c r="AL81" i="1" s="1"/>
  <c r="AJ82" i="1"/>
  <c r="AC86" i="1"/>
  <c r="AB86" i="1"/>
  <c r="Z87" i="1"/>
  <c r="AA87" i="1"/>
  <c r="AS84" i="1" l="1"/>
  <c r="AT84" i="1"/>
  <c r="AK82" i="1"/>
  <c r="AL82" i="1" s="1"/>
  <c r="AJ83" i="1"/>
  <c r="AC87" i="1"/>
  <c r="AB87" i="1"/>
  <c r="Z88" i="1"/>
  <c r="AA88" i="1"/>
  <c r="AT85" i="1" l="1"/>
  <c r="AS85" i="1"/>
  <c r="AK83" i="1"/>
  <c r="AL83" i="1" s="1"/>
  <c r="AJ84" i="1"/>
  <c r="AC88" i="1"/>
  <c r="AB88" i="1"/>
  <c r="Z89" i="1"/>
  <c r="AA89" i="1"/>
  <c r="AT86" i="1" l="1"/>
  <c r="AS86" i="1"/>
  <c r="AK84" i="1"/>
  <c r="AL84" i="1" s="1"/>
  <c r="AJ85" i="1"/>
  <c r="AC89" i="1"/>
  <c r="AB89" i="1"/>
  <c r="Z90" i="1"/>
  <c r="AA90" i="1"/>
  <c r="AT87" i="1" l="1"/>
  <c r="AS87" i="1"/>
  <c r="AK85" i="1"/>
  <c r="AL85" i="1" s="1"/>
  <c r="AJ86" i="1"/>
  <c r="AC90" i="1"/>
  <c r="AB90" i="1"/>
  <c r="Z91" i="1"/>
  <c r="AA91" i="1"/>
  <c r="AT88" i="1" l="1"/>
  <c r="AS88" i="1"/>
  <c r="AK86" i="1"/>
  <c r="AL86" i="1" s="1"/>
  <c r="AJ87" i="1"/>
  <c r="AC91" i="1"/>
  <c r="AB91" i="1"/>
  <c r="Z92" i="1"/>
  <c r="AA92" i="1"/>
  <c r="AS89" i="1" l="1"/>
  <c r="AT89" i="1"/>
  <c r="AK87" i="1"/>
  <c r="AL87" i="1" s="1"/>
  <c r="AJ88" i="1"/>
  <c r="AC92" i="1"/>
  <c r="AB92" i="1"/>
  <c r="Z93" i="1"/>
  <c r="AA93" i="1"/>
  <c r="AS90" i="1" l="1"/>
  <c r="AT90" i="1"/>
  <c r="AK88" i="1"/>
  <c r="AL88" i="1" s="1"/>
  <c r="AJ89" i="1"/>
  <c r="AC93" i="1"/>
  <c r="AB93" i="1"/>
  <c r="Z94" i="1"/>
  <c r="AA94" i="1"/>
  <c r="AT91" i="1" l="1"/>
  <c r="AS91" i="1"/>
  <c r="AK89" i="1"/>
  <c r="AL89" i="1" s="1"/>
  <c r="AJ90" i="1"/>
  <c r="AC94" i="1"/>
  <c r="AB94" i="1"/>
  <c r="Z95" i="1"/>
  <c r="AA95" i="1"/>
  <c r="AT92" i="1" l="1"/>
  <c r="AS92" i="1"/>
  <c r="AK90" i="1"/>
  <c r="AL90" i="1" s="1"/>
  <c r="AJ91" i="1"/>
  <c r="AC95" i="1"/>
  <c r="AB95" i="1"/>
  <c r="Z96" i="1"/>
  <c r="AA96" i="1"/>
  <c r="AS93" i="1" l="1"/>
  <c r="AT93" i="1"/>
  <c r="AK91" i="1"/>
  <c r="AL91" i="1" s="1"/>
  <c r="AJ92" i="1"/>
  <c r="AC96" i="1"/>
  <c r="AB96" i="1"/>
  <c r="Z97" i="1"/>
  <c r="AA97" i="1"/>
  <c r="AT94" i="1" l="1"/>
  <c r="AS94" i="1"/>
  <c r="AK92" i="1"/>
  <c r="AL92" i="1" s="1"/>
  <c r="AJ93" i="1"/>
  <c r="AC97" i="1"/>
  <c r="AB97" i="1"/>
  <c r="Z98" i="1"/>
  <c r="AA98" i="1"/>
  <c r="AT95" i="1" l="1"/>
  <c r="AS95" i="1"/>
  <c r="AK93" i="1"/>
  <c r="AL93" i="1" s="1"/>
  <c r="AJ94" i="1"/>
  <c r="AC98" i="1"/>
  <c r="AB98" i="1"/>
  <c r="Z99" i="1"/>
  <c r="AA99" i="1"/>
  <c r="AT96" i="1" l="1"/>
  <c r="AS96" i="1"/>
  <c r="AK94" i="1"/>
  <c r="AL94" i="1" s="1"/>
  <c r="AJ95" i="1"/>
  <c r="AC99" i="1"/>
  <c r="AB99" i="1"/>
  <c r="Z100" i="1"/>
  <c r="AA100" i="1"/>
  <c r="AT97" i="1" l="1"/>
  <c r="AS97" i="1"/>
  <c r="AK95" i="1"/>
  <c r="AL95" i="1" s="1"/>
  <c r="AJ96" i="1"/>
  <c r="AC100" i="1"/>
  <c r="AB100" i="1"/>
  <c r="Z101" i="1"/>
  <c r="AA101" i="1"/>
  <c r="AS98" i="1" l="1"/>
  <c r="AT98" i="1"/>
  <c r="AK96" i="1"/>
  <c r="AL96" i="1" s="1"/>
  <c r="AJ97" i="1"/>
  <c r="AC101" i="1"/>
  <c r="AB101" i="1"/>
  <c r="Z102" i="1"/>
  <c r="AA102" i="1"/>
  <c r="AT99" i="1" l="1"/>
  <c r="AS99" i="1"/>
  <c r="AK97" i="1"/>
  <c r="AL97" i="1" s="1"/>
  <c r="AJ98" i="1"/>
  <c r="AC102" i="1"/>
  <c r="AB102" i="1"/>
  <c r="Z103" i="1"/>
  <c r="AA103" i="1"/>
  <c r="AS100" i="1" l="1"/>
  <c r="AT100" i="1"/>
  <c r="AK98" i="1"/>
  <c r="AL98" i="1" s="1"/>
  <c r="AJ99" i="1"/>
  <c r="AC103" i="1"/>
  <c r="AB103" i="1"/>
  <c r="Z104" i="1"/>
  <c r="AA104" i="1"/>
  <c r="AT101" i="1" l="1"/>
  <c r="AS101" i="1"/>
  <c r="AK99" i="1"/>
  <c r="AL99" i="1" s="1"/>
  <c r="AJ100" i="1"/>
  <c r="AC104" i="1"/>
  <c r="AB104" i="1"/>
  <c r="Z105" i="1"/>
  <c r="AA105" i="1"/>
  <c r="AT102" i="1" l="1"/>
  <c r="AS102" i="1"/>
  <c r="AK100" i="1"/>
  <c r="AL100" i="1" s="1"/>
  <c r="AJ101" i="1"/>
  <c r="AC105" i="1"/>
  <c r="AB105" i="1"/>
  <c r="Z106" i="1"/>
  <c r="AA106" i="1"/>
  <c r="AT103" i="1" l="1"/>
  <c r="AS103" i="1"/>
  <c r="AK101" i="1"/>
  <c r="AL101" i="1" s="1"/>
  <c r="AJ102" i="1"/>
  <c r="AC106" i="1"/>
  <c r="AB106" i="1"/>
  <c r="Z107" i="1"/>
  <c r="AA107" i="1"/>
  <c r="AS104" i="1" l="1"/>
  <c r="AT104" i="1"/>
  <c r="AK102" i="1"/>
  <c r="AL102" i="1" s="1"/>
  <c r="AJ103" i="1"/>
  <c r="AC107" i="1"/>
  <c r="AB107" i="1"/>
  <c r="Z108" i="1"/>
  <c r="AA108" i="1"/>
  <c r="AS105" i="1" l="1"/>
  <c r="AT105" i="1"/>
  <c r="AK103" i="1"/>
  <c r="AL103" i="1" s="1"/>
  <c r="AJ104" i="1"/>
  <c r="AC108" i="1"/>
  <c r="AB108" i="1"/>
  <c r="Z109" i="1"/>
  <c r="AA109" i="1"/>
  <c r="AK104" i="1" l="1"/>
  <c r="AL104" i="1" s="1"/>
  <c r="AJ105" i="1"/>
  <c r="AC109" i="1"/>
  <c r="AB109" i="1"/>
  <c r="Z110" i="1"/>
  <c r="AA110" i="1"/>
  <c r="AK105" i="1" l="1"/>
  <c r="AL105" i="1" s="1"/>
  <c r="AJ106" i="1"/>
  <c r="AC110" i="1"/>
  <c r="AB110" i="1"/>
  <c r="Z111" i="1"/>
  <c r="AA111" i="1"/>
  <c r="AK106" i="1" l="1"/>
  <c r="AL106" i="1" s="1"/>
  <c r="AJ107" i="1"/>
  <c r="AC111" i="1"/>
  <c r="AB111" i="1"/>
  <c r="Z112" i="1"/>
  <c r="AA112" i="1"/>
  <c r="AK107" i="1" l="1"/>
  <c r="AL107" i="1" s="1"/>
  <c r="AJ108" i="1"/>
  <c r="AC112" i="1"/>
  <c r="AB112" i="1"/>
  <c r="Z113" i="1"/>
  <c r="AA113" i="1"/>
  <c r="AK108" i="1" l="1"/>
  <c r="AL108" i="1" s="1"/>
  <c r="AJ109" i="1"/>
  <c r="AC113" i="1"/>
  <c r="AB113" i="1"/>
  <c r="Z114" i="1"/>
  <c r="AA114" i="1"/>
  <c r="AK109" i="1" l="1"/>
  <c r="AL109" i="1" s="1"/>
  <c r="AJ110" i="1"/>
  <c r="AC114" i="1"/>
  <c r="AB114" i="1"/>
  <c r="Z115" i="1"/>
  <c r="AA115" i="1"/>
  <c r="AK110" i="1" l="1"/>
  <c r="AL110" i="1" s="1"/>
  <c r="AJ111" i="1"/>
  <c r="AC115" i="1"/>
  <c r="AB115" i="1"/>
  <c r="Z116" i="1"/>
  <c r="AA116" i="1"/>
  <c r="AK111" i="1" l="1"/>
  <c r="AL111" i="1" s="1"/>
  <c r="AJ112" i="1"/>
  <c r="AC116" i="1"/>
  <c r="AB116" i="1"/>
  <c r="Z117" i="1"/>
  <c r="AA117" i="1"/>
  <c r="AK112" i="1" l="1"/>
  <c r="AL112" i="1" s="1"/>
  <c r="AJ113" i="1"/>
  <c r="AC117" i="1"/>
  <c r="AB117" i="1"/>
  <c r="Z118" i="1"/>
  <c r="AA118" i="1"/>
  <c r="AK113" i="1" l="1"/>
  <c r="AL113" i="1" s="1"/>
  <c r="AJ114" i="1"/>
  <c r="AC118" i="1"/>
  <c r="AB118" i="1"/>
  <c r="Z119" i="1"/>
  <c r="AA119" i="1"/>
  <c r="AK114" i="1" l="1"/>
  <c r="AL114" i="1" s="1"/>
  <c r="AJ115" i="1"/>
  <c r="AC119" i="1"/>
  <c r="AB119" i="1"/>
  <c r="Z120" i="1"/>
  <c r="AA120" i="1"/>
  <c r="AK115" i="1" l="1"/>
  <c r="AL115" i="1" s="1"/>
  <c r="AJ116" i="1"/>
  <c r="AC120" i="1"/>
  <c r="AB120" i="1"/>
  <c r="Z121" i="1"/>
  <c r="AA121" i="1"/>
  <c r="AK116" i="1" l="1"/>
  <c r="AL116" i="1" s="1"/>
  <c r="AJ117" i="1"/>
  <c r="AC121" i="1"/>
  <c r="AB121" i="1"/>
  <c r="Z122" i="1"/>
  <c r="AA122" i="1"/>
  <c r="AK117" i="1" l="1"/>
  <c r="AL117" i="1" s="1"/>
  <c r="AJ118" i="1"/>
  <c r="AC122" i="1"/>
  <c r="AB122" i="1"/>
  <c r="Z123" i="1"/>
  <c r="AA123" i="1"/>
  <c r="AK118" i="1" l="1"/>
  <c r="AL118" i="1" s="1"/>
  <c r="AJ119" i="1"/>
  <c r="AC123" i="1"/>
  <c r="AB123" i="1"/>
  <c r="Z124" i="1"/>
  <c r="AA124" i="1"/>
  <c r="AK119" i="1" l="1"/>
  <c r="AL119" i="1" s="1"/>
  <c r="AJ120" i="1"/>
  <c r="AC124" i="1"/>
  <c r="AB124" i="1"/>
  <c r="Z125" i="1"/>
  <c r="AA125" i="1"/>
  <c r="AK120" i="1" l="1"/>
  <c r="AL120" i="1" s="1"/>
  <c r="AJ121" i="1"/>
  <c r="AC125" i="1"/>
  <c r="AB125" i="1"/>
  <c r="Z126" i="1"/>
  <c r="AA126" i="1"/>
  <c r="AK121" i="1" l="1"/>
  <c r="AL121" i="1" s="1"/>
  <c r="AJ122" i="1"/>
  <c r="AC126" i="1"/>
  <c r="AB126" i="1"/>
  <c r="Z127" i="1"/>
  <c r="AA127" i="1"/>
  <c r="AK122" i="1" l="1"/>
  <c r="AL122" i="1" s="1"/>
  <c r="AJ123" i="1"/>
  <c r="AC127" i="1"/>
  <c r="AB127" i="1"/>
  <c r="Z128" i="1"/>
  <c r="AA128" i="1"/>
  <c r="AK123" i="1" l="1"/>
  <c r="AL123" i="1" s="1"/>
  <c r="AJ124" i="1"/>
  <c r="AC128" i="1"/>
  <c r="AB128" i="1"/>
  <c r="Z129" i="1"/>
  <c r="AA129" i="1"/>
  <c r="AK124" i="1" l="1"/>
  <c r="AL124" i="1" s="1"/>
  <c r="AJ125" i="1"/>
  <c r="AC129" i="1"/>
  <c r="AB129" i="1"/>
  <c r="Z130" i="1"/>
  <c r="AA130" i="1"/>
  <c r="AK125" i="1" l="1"/>
  <c r="AL125" i="1" s="1"/>
  <c r="AJ126" i="1"/>
  <c r="AC130" i="1"/>
  <c r="AB130" i="1"/>
  <c r="Z131" i="1"/>
  <c r="AA131" i="1"/>
  <c r="AK126" i="1" l="1"/>
  <c r="AL126" i="1" s="1"/>
  <c r="AJ127" i="1"/>
  <c r="AC131" i="1"/>
  <c r="AB131" i="1"/>
  <c r="Z132" i="1"/>
  <c r="AA132" i="1"/>
  <c r="AK127" i="1" l="1"/>
  <c r="AL127" i="1" s="1"/>
  <c r="AJ128" i="1"/>
  <c r="AC132" i="1"/>
  <c r="AB132" i="1"/>
  <c r="Z133" i="1"/>
  <c r="AA133" i="1"/>
  <c r="AK128" i="1" l="1"/>
  <c r="AL128" i="1" s="1"/>
  <c r="AJ129" i="1"/>
  <c r="AC133" i="1"/>
  <c r="AB133" i="1"/>
  <c r="Z134" i="1"/>
  <c r="AA134" i="1"/>
  <c r="AK129" i="1" l="1"/>
  <c r="AL129" i="1" s="1"/>
  <c r="AJ130" i="1"/>
  <c r="AC134" i="1"/>
  <c r="AB134" i="1"/>
  <c r="Z135" i="1"/>
  <c r="AA135" i="1"/>
  <c r="AK130" i="1" l="1"/>
  <c r="AL130" i="1" s="1"/>
  <c r="AJ131" i="1"/>
  <c r="AC135" i="1"/>
  <c r="AB135" i="1"/>
  <c r="Z136" i="1"/>
  <c r="AA136" i="1"/>
  <c r="AK131" i="1" l="1"/>
  <c r="AL131" i="1" s="1"/>
  <c r="AJ132" i="1"/>
  <c r="AC136" i="1"/>
  <c r="AB136" i="1"/>
  <c r="Z137" i="1"/>
  <c r="AA137" i="1"/>
  <c r="AK132" i="1" l="1"/>
  <c r="AL132" i="1" s="1"/>
  <c r="AJ133" i="1"/>
  <c r="AC137" i="1"/>
  <c r="AB137" i="1"/>
  <c r="Z138" i="1"/>
  <c r="AA138" i="1"/>
  <c r="AK133" i="1" l="1"/>
  <c r="AL133" i="1" s="1"/>
  <c r="AJ134" i="1"/>
  <c r="AC138" i="1"/>
  <c r="AB138" i="1"/>
  <c r="Z139" i="1"/>
  <c r="AA139" i="1"/>
  <c r="AK134" i="1" l="1"/>
  <c r="AL134" i="1" s="1"/>
  <c r="AJ135" i="1"/>
  <c r="AC139" i="1"/>
  <c r="AB139" i="1"/>
  <c r="Z140" i="1"/>
  <c r="AA140" i="1"/>
  <c r="AK135" i="1" l="1"/>
  <c r="AL135" i="1" s="1"/>
  <c r="AJ136" i="1"/>
  <c r="AC140" i="1"/>
  <c r="AB140" i="1"/>
  <c r="Z141" i="1"/>
  <c r="AA141" i="1"/>
  <c r="AK136" i="1" l="1"/>
  <c r="AL136" i="1" s="1"/>
  <c r="AJ137" i="1"/>
  <c r="AC141" i="1"/>
  <c r="AB141" i="1"/>
  <c r="Z142" i="1"/>
  <c r="AA142" i="1"/>
  <c r="AK137" i="1" l="1"/>
  <c r="AL137" i="1" s="1"/>
  <c r="AJ138" i="1"/>
  <c r="AC142" i="1"/>
  <c r="AB142" i="1"/>
  <c r="Z143" i="1"/>
  <c r="AA143" i="1"/>
  <c r="AK138" i="1" l="1"/>
  <c r="AL138" i="1" s="1"/>
  <c r="AJ139" i="1"/>
  <c r="AC143" i="1"/>
  <c r="AB143" i="1"/>
  <c r="Z144" i="1"/>
  <c r="AA144" i="1"/>
  <c r="AK139" i="1" l="1"/>
  <c r="AL139" i="1" s="1"/>
  <c r="AJ140" i="1"/>
  <c r="AC144" i="1"/>
  <c r="AB144" i="1"/>
  <c r="Z145" i="1"/>
  <c r="AA145" i="1"/>
  <c r="AK140" i="1" l="1"/>
  <c r="AL140" i="1" s="1"/>
  <c r="AJ141" i="1"/>
  <c r="AC145" i="1"/>
  <c r="AB145" i="1"/>
  <c r="Z146" i="1"/>
  <c r="AA146" i="1"/>
  <c r="AK141" i="1" l="1"/>
  <c r="AL141" i="1" s="1"/>
  <c r="AJ142" i="1"/>
  <c r="AC146" i="1"/>
  <c r="AB146" i="1"/>
  <c r="Z147" i="1"/>
  <c r="AA147" i="1"/>
  <c r="AK142" i="1" l="1"/>
  <c r="AL142" i="1" s="1"/>
  <c r="AJ143" i="1"/>
  <c r="AC147" i="1"/>
  <c r="AB147" i="1"/>
  <c r="Z148" i="1"/>
  <c r="AA148" i="1"/>
  <c r="AK143" i="1" l="1"/>
  <c r="AL143" i="1" s="1"/>
  <c r="AJ144" i="1"/>
  <c r="AC148" i="1"/>
  <c r="AB148" i="1"/>
  <c r="Z149" i="1"/>
  <c r="AA149" i="1"/>
  <c r="AK144" i="1" l="1"/>
  <c r="AL144" i="1" s="1"/>
  <c r="AJ145" i="1"/>
  <c r="AC149" i="1"/>
  <c r="AB149" i="1"/>
  <c r="Z150" i="1"/>
  <c r="AA150" i="1"/>
  <c r="AK145" i="1" l="1"/>
  <c r="AL145" i="1" s="1"/>
  <c r="AJ146" i="1"/>
  <c r="AC150" i="1"/>
  <c r="AB150" i="1"/>
  <c r="Z151" i="1"/>
  <c r="AA151" i="1"/>
  <c r="AK146" i="1" l="1"/>
  <c r="AL146" i="1" s="1"/>
  <c r="AJ147" i="1"/>
  <c r="AC151" i="1"/>
  <c r="AB151" i="1"/>
  <c r="Z152" i="1"/>
  <c r="AA152" i="1"/>
  <c r="AK147" i="1" l="1"/>
  <c r="AL147" i="1" s="1"/>
  <c r="AJ148" i="1"/>
  <c r="AC152" i="1"/>
  <c r="AB152" i="1"/>
  <c r="Z153" i="1"/>
  <c r="AA153" i="1"/>
  <c r="AK148" i="1" l="1"/>
  <c r="AL148" i="1" s="1"/>
  <c r="AJ149" i="1"/>
  <c r="AC153" i="1"/>
  <c r="AB153" i="1"/>
  <c r="Z154" i="1"/>
  <c r="AA154" i="1"/>
  <c r="AK149" i="1" l="1"/>
  <c r="AL149" i="1" s="1"/>
  <c r="AJ150" i="1"/>
  <c r="AC154" i="1"/>
  <c r="AB154" i="1"/>
  <c r="Z155" i="1"/>
  <c r="AA155" i="1"/>
  <c r="AK150" i="1" l="1"/>
  <c r="AL150" i="1" s="1"/>
  <c r="AJ151" i="1"/>
  <c r="AC155" i="1"/>
  <c r="AB155" i="1"/>
  <c r="Z156" i="1"/>
  <c r="AA156" i="1"/>
  <c r="AK151" i="1" l="1"/>
  <c r="AL151" i="1" s="1"/>
  <c r="AJ152" i="1"/>
  <c r="AC156" i="1"/>
  <c r="AB156" i="1"/>
  <c r="Z157" i="1"/>
  <c r="AA157" i="1"/>
  <c r="AK152" i="1" l="1"/>
  <c r="AL152" i="1" s="1"/>
  <c r="AJ153" i="1"/>
  <c r="AC157" i="1"/>
  <c r="AB157" i="1"/>
  <c r="Z158" i="1"/>
  <c r="AA158" i="1"/>
  <c r="AK153" i="1" l="1"/>
  <c r="AL153" i="1" s="1"/>
  <c r="AJ154" i="1"/>
  <c r="AC158" i="1"/>
  <c r="AB158" i="1"/>
  <c r="Z159" i="1"/>
  <c r="AA159" i="1"/>
  <c r="AK154" i="1" l="1"/>
  <c r="AL154" i="1" s="1"/>
  <c r="AJ155" i="1"/>
  <c r="AC159" i="1"/>
  <c r="AB159" i="1"/>
  <c r="Z160" i="1"/>
  <c r="AA160" i="1"/>
  <c r="AK155" i="1" l="1"/>
  <c r="AL155" i="1" s="1"/>
  <c r="AJ156" i="1"/>
  <c r="AC160" i="1"/>
  <c r="AB160" i="1"/>
  <c r="Z161" i="1"/>
  <c r="AA161" i="1"/>
  <c r="AK156" i="1" l="1"/>
  <c r="AL156" i="1" s="1"/>
  <c r="AJ157" i="1"/>
  <c r="AC161" i="1"/>
  <c r="AB161" i="1"/>
  <c r="Z162" i="1"/>
  <c r="AA162" i="1"/>
  <c r="AK157" i="1" l="1"/>
  <c r="AL157" i="1" s="1"/>
  <c r="AJ158" i="1"/>
  <c r="AC162" i="1"/>
  <c r="AB162" i="1"/>
  <c r="Z163" i="1"/>
  <c r="AA163" i="1"/>
  <c r="AK158" i="1" l="1"/>
  <c r="AL158" i="1" s="1"/>
  <c r="AJ159" i="1"/>
  <c r="AC163" i="1"/>
  <c r="AB163" i="1"/>
  <c r="Z164" i="1"/>
  <c r="AA164" i="1"/>
  <c r="AK159" i="1" l="1"/>
  <c r="AL159" i="1" s="1"/>
  <c r="AJ160" i="1"/>
  <c r="AC164" i="1"/>
  <c r="AB164" i="1"/>
  <c r="Z165" i="1"/>
  <c r="AA165" i="1"/>
  <c r="AK160" i="1" l="1"/>
  <c r="AL160" i="1" s="1"/>
  <c r="AJ161" i="1"/>
  <c r="AC165" i="1"/>
  <c r="AB165" i="1"/>
  <c r="Z166" i="1"/>
  <c r="AA166" i="1"/>
  <c r="AK161" i="1" l="1"/>
  <c r="AL161" i="1" s="1"/>
  <c r="AJ162" i="1"/>
  <c r="AC166" i="1"/>
  <c r="AB166" i="1"/>
  <c r="Z167" i="1"/>
  <c r="AA167" i="1"/>
  <c r="AK162" i="1" l="1"/>
  <c r="AL162" i="1" s="1"/>
  <c r="AJ163" i="1"/>
  <c r="AC167" i="1"/>
  <c r="AB167" i="1"/>
  <c r="Z168" i="1"/>
  <c r="AA168" i="1"/>
  <c r="AK163" i="1" l="1"/>
  <c r="AL163" i="1" s="1"/>
  <c r="AJ164" i="1"/>
  <c r="AC168" i="1"/>
  <c r="AB168" i="1"/>
  <c r="Z169" i="1"/>
  <c r="AA169" i="1"/>
  <c r="AK164" i="1" l="1"/>
  <c r="AL164" i="1" s="1"/>
  <c r="AJ165" i="1"/>
  <c r="AC169" i="1"/>
  <c r="AB169" i="1"/>
  <c r="Z170" i="1"/>
  <c r="AA170" i="1"/>
  <c r="AK165" i="1" l="1"/>
  <c r="AL165" i="1" s="1"/>
  <c r="AJ166" i="1"/>
  <c r="AC170" i="1"/>
  <c r="AB170" i="1"/>
  <c r="Z171" i="1"/>
  <c r="AA171" i="1"/>
  <c r="AK166" i="1" l="1"/>
  <c r="AL166" i="1" s="1"/>
  <c r="AJ167" i="1"/>
  <c r="AC171" i="1"/>
  <c r="AB171" i="1"/>
  <c r="Z172" i="1"/>
  <c r="AA172" i="1"/>
  <c r="AK167" i="1" l="1"/>
  <c r="AL167" i="1" s="1"/>
  <c r="AJ168" i="1"/>
  <c r="AC172" i="1"/>
  <c r="AB172" i="1"/>
  <c r="Z173" i="1"/>
  <c r="AA173" i="1"/>
  <c r="AK168" i="1" l="1"/>
  <c r="AL168" i="1" s="1"/>
  <c r="AJ169" i="1"/>
  <c r="AC173" i="1"/>
  <c r="AB173" i="1"/>
  <c r="Z174" i="1"/>
  <c r="AA174" i="1"/>
  <c r="AK169" i="1" l="1"/>
  <c r="AL169" i="1" s="1"/>
  <c r="AJ170" i="1"/>
  <c r="AC174" i="1"/>
  <c r="AB174" i="1"/>
  <c r="Z175" i="1"/>
  <c r="AA175" i="1"/>
  <c r="AK170" i="1" l="1"/>
  <c r="AL170" i="1" s="1"/>
  <c r="AJ171" i="1"/>
  <c r="AC175" i="1"/>
  <c r="AB175" i="1"/>
  <c r="Z176" i="1"/>
  <c r="AA176" i="1"/>
  <c r="AK171" i="1" l="1"/>
  <c r="AL171" i="1" s="1"/>
  <c r="AJ172" i="1"/>
  <c r="AC176" i="1"/>
  <c r="AB176" i="1"/>
  <c r="Z177" i="1"/>
  <c r="AA177" i="1"/>
  <c r="AK172" i="1" l="1"/>
  <c r="AL172" i="1" s="1"/>
  <c r="AJ173" i="1"/>
  <c r="AC177" i="1"/>
  <c r="AB177" i="1"/>
  <c r="Z178" i="1"/>
  <c r="AA178" i="1"/>
  <c r="AK173" i="1" l="1"/>
  <c r="AL173" i="1" s="1"/>
  <c r="AJ174" i="1"/>
  <c r="AC178" i="1"/>
  <c r="AB178" i="1"/>
  <c r="Z179" i="1"/>
  <c r="AA179" i="1"/>
  <c r="AK174" i="1" l="1"/>
  <c r="AL174" i="1" s="1"/>
  <c r="AJ175" i="1"/>
  <c r="AC179" i="1"/>
  <c r="AB179" i="1"/>
  <c r="Z180" i="1"/>
  <c r="AA180" i="1"/>
  <c r="AK175" i="1" l="1"/>
  <c r="AL175" i="1" s="1"/>
  <c r="AJ176" i="1"/>
  <c r="AC180" i="1"/>
  <c r="AB180" i="1"/>
  <c r="Z181" i="1"/>
  <c r="AA181" i="1"/>
  <c r="AK176" i="1" l="1"/>
  <c r="AL176" i="1" s="1"/>
  <c r="AJ177" i="1"/>
  <c r="AC181" i="1"/>
  <c r="AB181" i="1"/>
  <c r="Z182" i="1"/>
  <c r="AA182" i="1"/>
  <c r="AK177" i="1" l="1"/>
  <c r="AL177" i="1" s="1"/>
  <c r="AJ178" i="1"/>
  <c r="AC182" i="1"/>
  <c r="AB182" i="1"/>
  <c r="Z183" i="1"/>
  <c r="AA183" i="1"/>
  <c r="AK178" i="1" l="1"/>
  <c r="AL178" i="1" s="1"/>
  <c r="AJ179" i="1"/>
  <c r="AC183" i="1"/>
  <c r="AB183" i="1"/>
  <c r="Z184" i="1"/>
  <c r="AA184" i="1"/>
  <c r="AK179" i="1" l="1"/>
  <c r="AL179" i="1" s="1"/>
  <c r="AJ180" i="1"/>
  <c r="AC184" i="1"/>
  <c r="AB184" i="1"/>
  <c r="Z185" i="1"/>
  <c r="AA185" i="1"/>
  <c r="AK180" i="1" l="1"/>
  <c r="AL180" i="1" s="1"/>
  <c r="AJ181" i="1"/>
  <c r="AC185" i="1"/>
  <c r="AB185" i="1"/>
  <c r="Z186" i="1"/>
  <c r="AA186" i="1"/>
  <c r="AK181" i="1" l="1"/>
  <c r="AL181" i="1" s="1"/>
  <c r="AJ182" i="1"/>
  <c r="AC186" i="1"/>
  <c r="AB186" i="1"/>
  <c r="Z187" i="1"/>
  <c r="AA187" i="1"/>
  <c r="AK182" i="1" l="1"/>
  <c r="AL182" i="1" s="1"/>
  <c r="AJ183" i="1"/>
  <c r="AC187" i="1"/>
  <c r="AB187" i="1"/>
  <c r="Z188" i="1"/>
  <c r="AA188" i="1"/>
  <c r="AK183" i="1" l="1"/>
  <c r="AL183" i="1" s="1"/>
  <c r="AJ184" i="1"/>
  <c r="AK184" i="1" s="1"/>
  <c r="AL184" i="1" s="1"/>
  <c r="AC188" i="1"/>
  <c r="AB188" i="1"/>
  <c r="Z189" i="1"/>
  <c r="AA189" i="1"/>
  <c r="AC189" i="1" l="1"/>
  <c r="AB189" i="1"/>
  <c r="Z190" i="1"/>
  <c r="AA190" i="1"/>
  <c r="AC190" i="1" l="1"/>
  <c r="AB190" i="1"/>
  <c r="Z191" i="1"/>
  <c r="AA191" i="1"/>
  <c r="AC191" i="1" l="1"/>
  <c r="AB191" i="1"/>
  <c r="Z192" i="1"/>
  <c r="AA192" i="1"/>
  <c r="AC192" i="1" l="1"/>
  <c r="AB192" i="1"/>
  <c r="Z193" i="1"/>
  <c r="AA193" i="1"/>
  <c r="AC193" i="1" l="1"/>
  <c r="AB193" i="1"/>
  <c r="Z194" i="1"/>
  <c r="AA194" i="1"/>
  <c r="AC194" i="1" l="1"/>
  <c r="AB194" i="1"/>
  <c r="Z195" i="1"/>
  <c r="AA195" i="1"/>
  <c r="AC195" i="1" l="1"/>
  <c r="AB195" i="1"/>
  <c r="Z196" i="1"/>
  <c r="AA196" i="1"/>
  <c r="AC196" i="1" l="1"/>
  <c r="AB196" i="1"/>
  <c r="Z197" i="1"/>
  <c r="AA197" i="1"/>
  <c r="AC197" i="1" l="1"/>
  <c r="AB197" i="1"/>
  <c r="Z198" i="1"/>
  <c r="AA198" i="1"/>
  <c r="AC198" i="1" l="1"/>
  <c r="AB198" i="1"/>
  <c r="Z199" i="1"/>
  <c r="AA199" i="1"/>
  <c r="AC199" i="1" l="1"/>
  <c r="AB199" i="1"/>
  <c r="Z200" i="1"/>
  <c r="AA200" i="1"/>
  <c r="AC200" i="1" l="1"/>
  <c r="AB200" i="1"/>
  <c r="Z201" i="1"/>
  <c r="AA201" i="1"/>
  <c r="AC201" i="1" l="1"/>
  <c r="AB201" i="1"/>
  <c r="Z202" i="1"/>
  <c r="AA202" i="1"/>
  <c r="AC202" i="1" l="1"/>
  <c r="AB202" i="1"/>
  <c r="Z203" i="1"/>
  <c r="AA203" i="1"/>
  <c r="AC203" i="1" l="1"/>
  <c r="AB203" i="1"/>
</calcChain>
</file>

<file path=xl/sharedStrings.xml><?xml version="1.0" encoding="utf-8"?>
<sst xmlns="http://schemas.openxmlformats.org/spreadsheetml/2006/main" count="272" uniqueCount="205">
  <si>
    <t>CYCLOID PENDULUM</t>
  </si>
  <si>
    <t>g</t>
  </si>
  <si>
    <t>mass</t>
  </si>
  <si>
    <t>Length</t>
  </si>
  <si>
    <t>dt</t>
  </si>
  <si>
    <t>Tperiod</t>
  </si>
  <si>
    <t>PerIOdos = Ftoue(PI / 2, SI) * Sqr(MhkOsN / 10) 'Ô= Ê(ð/2,á)*sqrt(l/g)</t>
  </si>
  <si>
    <t>SI = Abs(Sin(arxIKHGON / 2))</t>
  </si>
  <si>
    <t>arxikiGon</t>
  </si>
  <si>
    <t>1/2 m (ds/dt)²+mgl(1-cosθ)=1/2mv0²</t>
  </si>
  <si>
    <t>s=lθ</t>
  </si>
  <si>
    <t>1/2 L² (dΘ/dt)²+gl(1-cosθ)=gl(1-cosθ0)</t>
  </si>
  <si>
    <t>1/2 L² (dΘ/dt) = - gl(1-cosθ)+gl(1-cosθ0)</t>
  </si>
  <si>
    <t>1/2 L² (dΘ/dt) = gl(cosθ-cosθ0)</t>
  </si>
  <si>
    <t>1/2 L² (dΘ/dt) = 2gl(sin²(θ0/2) - sin²(θ/2))</t>
  </si>
  <si>
    <t>a0</t>
  </si>
  <si>
    <t>b</t>
  </si>
  <si>
    <t>c</t>
  </si>
  <si>
    <t>.0</t>
  </si>
  <si>
    <t>&gt;0</t>
  </si>
  <si>
    <t>k</t>
  </si>
  <si>
    <t>A</t>
  </si>
  <si>
    <t>B</t>
  </si>
  <si>
    <t>C</t>
  </si>
  <si>
    <t>Exact Period</t>
  </si>
  <si>
    <t>Aktina</t>
  </si>
  <si>
    <t>radius of cycle producing cycloid</t>
  </si>
  <si>
    <t>GonTax</t>
  </si>
  <si>
    <t>Taxtyths</t>
  </si>
  <si>
    <t>velocity for producing cycloid</t>
  </si>
  <si>
    <t>xkathetos</t>
  </si>
  <si>
    <t>Dim TaxythS, GonTax, AKTina As Double 'ðáñÜìåôñïé ó÷åäßáóçò</t>
  </si>
  <si>
    <t>Dim theta, ElaxiSto, ThetA2</t>
  </si>
  <si>
    <t>AKTina = 20 'áêôßíá ôïõ êõëéþìåíïõ êýêëïõ</t>
  </si>
  <si>
    <t>ElaxiSto = -MegistoX + AKTina 'åëÜ÷éóôï ×</t>
  </si>
  <si>
    <t>TaxythS = 0.2</t>
  </si>
  <si>
    <t>GonTax = TaxythS / AKTina 'ãùíéáêÞ  ôá÷ýôçôá ðïõ ðáñÜãåé ôçí êõêëïåéäÞ</t>
  </si>
  <si>
    <t>xkathetos = 2 * PI * AKTina ' Ì¹ÊÏÓ ÐÅÑÉÖÅÑÅÉÁÓ, ÅÊÅÉ ÔÅËÅÉÙÍÅÉ Ç ÊÕÊËÏÅÉÄÇÓ</t>
  </si>
  <si>
    <t>kykloeidhs.Line (xkathetos, -mEGIstoy)-(xkathetos, mEGIstoy), RGB(255, 0, 0) 'È¸ÓÇ ¼ÐÏÕ ÊËÅÉÍÅÉ ÌÉÁ ÐÅÑÉÏÄÏÓ</t>
  </si>
  <si>
    <t>'kykloeidhs.Line (xkathetos / 2, -mEGIstoy)-(xkathetos / 2, mEGIstoy), RGB(255, 0, 0) 'È¸ÓÇ ¼ÐÏÕ ÊËÅÉÍÅÉ ÌÉÓÇ ÐÅÑÉÏÄÏÓ</t>
  </si>
  <si>
    <t>'kykloeidhs.Line (-xkathetos / 2, -mEGIstoy)-(-xkathetos / 2, mEGIstoy), RGB(255, 0, 0) 'È¸ÓÇ ¼ÐÏÕ ÊËÅÉÍÅÉ ÌÉÓÇ ÐÅÑÉÏÄÏÓ</t>
  </si>
  <si>
    <t>kykloeidhs.Line (-xkathetos, -mEGIstoy)-(-xkathetos, mEGIstoy), RGB(255, 0, 0)   'È¸ÓÇ ¼ÐÏÕ ÊËÅÉÍÅÉ ÌÉÁ ÐÅÑÉÏÄÏÓ</t>
  </si>
  <si>
    <t>kykloeidhs.Line (0, -mEGIstoy)-(0, mEGIstoy), RGB(255, 0, 0) 'È¸ÓÇ ¼ÐÏÕ ÊËÅÉÍÅÉ ÌÉÁ ÐÅÑÉÏÄÏÓ</t>
  </si>
  <si>
    <t>SHMEIAExx(0) = -xkathetos: ShmeiAEXy(0) = 0</t>
  </si>
  <si>
    <t>SHMEIAKYKLx(0) = -xkathetos: ShmeiAKYKLy(0) = 0</t>
  </si>
  <si>
    <t>For I = 1 To 200 'âñßóêù ôá óçìåßá ôçò ÅÎÅÉËÉÃÌÅÍÇÓ ÊÁÉ ÔÇÓ ÊÕÊËÏÅÉÄÏÕÓ</t>
  </si>
  <si>
    <t>X2 = -xkathetos + (xkathetos) / 200 * I</t>
  </si>
  <si>
    <t>xronos = X2 / TaxythS '×2 ç èÝóç ôïõ êÝíôñïõ ôùí êýêëùí, ïðüôå ï ÷ñüíïò (áñíçôéêüò) áíôéóôïé÷åß óôç èÝóç</t>
  </si>
  <si>
    <t>theta = xronos * GonTax 'ãùíßá è ãéá ôç èÝóç ôïõ óçìåßïõ ðÜíù óôïí êýêëï</t>
  </si>
  <si>
    <t>x1 = X2 - AKTina * Sin(theta) 'âñßóêù ôç èåóç óôçí êõêëïåéäç</t>
  </si>
  <si>
    <t>y1 = -AKTina + AKTina * Cos(theta)</t>
  </si>
  <si>
    <t>ThetA2 = PI - theta 'ãùíßá ãéá ôçí ÅÎÅÉËÉÃÌÅÍÇ</t>
  </si>
  <si>
    <t>x3 = X2 + AKTina * Sin(ThetA2) 'èÝóç ãéá ôçí ÅÎÅÉËÉÃÌÅÍÇ</t>
  </si>
  <si>
    <t>y3 = AKTina + AKTina * Cos(ThetA2)</t>
  </si>
  <si>
    <t>'kykloeidhs.PSet (x1, y1), RGB(255, 0, 0)</t>
  </si>
  <si>
    <t>'kykloeidhs.PSet (x3, y3), RGB(0, 0, 255)</t>
  </si>
  <si>
    <t>SHMEIAExx(I) = x3: ShmeiAEXy(I) = y3</t>
  </si>
  <si>
    <t>SHMEIAKYKLx(I) = x1: ShmeiAKYKLy(I) = y1</t>
  </si>
  <si>
    <t>'kykloeidhs.Line (SHMEIAExx(I - 1), ShmeiAEXy(I - 1))-(SHMEIAExx(I), ShmeiAEXy(I)), RGB(0, 0, 255)</t>
  </si>
  <si>
    <t>'kykloeidhs.Line (SHMEIAKYKLx(I - 1), ShmeiAKYKLy(I - 1))-(SHMEIAKYKLx(I), ShmeiAKYKLy(I)), RGB(255, 0, 0)</t>
  </si>
  <si>
    <t>Next I</t>
  </si>
  <si>
    <t>End Sub</t>
  </si>
  <si>
    <t>x1</t>
  </si>
  <si>
    <t>y1</t>
  </si>
  <si>
    <t>fi</t>
  </si>
  <si>
    <t>vimaex</t>
  </si>
  <si>
    <t>Sub vafoEXILEIGMENI(xc)  'èÝëù íá âÜöù ôçí åîåéëéãìÝíç  áðü ôç èÝóç ðïõ áíáñôÜôá´'</t>
  </si>
  <si>
    <t>'ôï åêêñåìÝò ìÝ÷ñé  ôï óçìåßï åðáöÞò x3 óçìåßï åðáöÞò íÞìáôïò xc êÝíôñï êýêëïõ</t>
  </si>
  <si>
    <t>PI = 4 * Atn(1)</t>
  </si>
  <si>
    <t>X2 = xc</t>
  </si>
  <si>
    <t>AKTina = 20</t>
  </si>
  <si>
    <t>GonTax = TaxythS / AKTina</t>
  </si>
  <si>
    <t>x1 = xc - AKTina * Sin(theta) 'âñßóêù ôç èåóç óôçí êõêëïåéäç</t>
  </si>
  <si>
    <t>'Yarxiko0 = y1</t>
  </si>
  <si>
    <t>'YkYkLiKo = y1</t>
  </si>
  <si>
    <t>kykloeidhs.DrawWidth = 5</t>
  </si>
  <si>
    <t>'kykloeidhs.PSet (x3, y3)</t>
  </si>
  <si>
    <t>'kykloeidhs.PSet (-PI * AKTina, 2 * AKTina)</t>
  </si>
  <si>
    <t>kykloeidhs.DrawWidth = 2</t>
  </si>
  <si>
    <t>X11 = -PI * AKTina: y11 = 2 * AKTina</t>
  </si>
  <si>
    <t>fi1 = 0</t>
  </si>
  <si>
    <t>x11old = X11: y11old = y11</t>
  </si>
  <si>
    <t>i1 = 0</t>
  </si>
  <si>
    <t>If xc &lt; -PI * AKTina Then</t>
  </si>
  <si>
    <t>While X11 &gt; x3</t>
  </si>
  <si>
    <t>X11 = -PI * AKTina - AKTina * fi1 + AKTina * Sin(fi1)</t>
  </si>
  <si>
    <t>y11 = AKTina * (1 + Cos(fi1))</t>
  </si>
  <si>
    <t>If X11 - x11old = 0 Then</t>
  </si>
  <si>
    <t>i1 = i1 + 1</t>
  </si>
  <si>
    <t>If i1 &gt; 5 Then Exit Sub</t>
  </si>
  <si>
    <t>End If</t>
  </si>
  <si>
    <t>kykloeidhs.PSet (X11, y11), RGB(0, 255, 0)</t>
  </si>
  <si>
    <t>kykloeidhs.Line (x11old, y11old)-(X11, y11), RGB(255, 0, 0)</t>
  </si>
  <si>
    <t>fi1 = fi1 + PI / 500</t>
  </si>
  <si>
    <t>Wend</t>
  </si>
  <si>
    <t>Else</t>
  </si>
  <si>
    <t>While X11 &lt; x3</t>
  </si>
  <si>
    <t>X11 = -PI * AKTina + AKTina * fi1 - AKTina * Sin(fi1)</t>
  </si>
  <si>
    <t>'kykloeidhs.PSet (X11, y11), RGB(0, 255, 0)</t>
  </si>
  <si>
    <t>megistox</t>
  </si>
  <si>
    <t>elaxisto</t>
  </si>
  <si>
    <t>MhkOsN = 4 * AKTina</t>
  </si>
  <si>
    <t>THesix1 = AKTina * (fi - Sin(fi)) - 2 * PI * AKTina</t>
  </si>
  <si>
    <t>theSIy1 = -AKTina * (1 - Cos(fi))</t>
  </si>
  <si>
    <t>xx</t>
  </si>
  <si>
    <t>yy</t>
  </si>
  <si>
    <t>cicle</t>
  </si>
  <si>
    <t>xc</t>
  </si>
  <si>
    <t>yc</t>
  </si>
  <si>
    <t>gonia strofis</t>
  </si>
  <si>
    <t>xcircle</t>
  </si>
  <si>
    <t>ycircle</t>
  </si>
  <si>
    <t>φ</t>
  </si>
  <si>
    <t>θ</t>
  </si>
  <si>
    <t>aktinakamp = 2 * Sqr(-2 * theSIy1 * AKTina) '</t>
  </si>
  <si>
    <t>efaptomeni = -Sin(fi) / (1 - Cos(fi))</t>
  </si>
  <si>
    <t>cos1 = 1 / Sqr(1 + efaptomeni ^ 2)</t>
  </si>
  <si>
    <t>Sin1 = cos1 * efaptomeni</t>
  </si>
  <si>
    <t>GoNiaEF = Atn(efaptomeni)</t>
  </si>
  <si>
    <t>efatoinbeu</t>
  </si>
  <si>
    <t>cos1</t>
  </si>
  <si>
    <t>sin1</t>
  </si>
  <si>
    <t>aktinakamp</t>
  </si>
  <si>
    <t>xkentro = THesix1 - aktinakamp * Sin1 '(GoNiaEF)</t>
  </si>
  <si>
    <t>ykentro = theSIy1 + aktinakamp * cos1 '(GoNiaEF)</t>
  </si>
  <si>
    <t xml:space="preserve"> </t>
  </si>
  <si>
    <t>T</t>
  </si>
  <si>
    <t>MikosToxoy = PLATOSKINHSHS * Cos(2 * PI * x0 / PerIOdos)</t>
  </si>
  <si>
    <t>Platoskinishs</t>
  </si>
  <si>
    <t>DsOverDt = 2 * PI * PLATOSKINHSHS / PerIOdos * Sin(2 * PI * x0 / PerIOdos) 'ds/dt</t>
  </si>
  <si>
    <t>If 1 - Cos(fi) &lt;&gt; 0 Then</t>
  </si>
  <si>
    <t>If fi &gt; PI Then GoNiaEF = PI - GoNiaEF</t>
  </si>
  <si>
    <t>If Abs(MikosToxoy / (4 * AKTina)) &lt;= 1 Then</t>
  </si>
  <si>
    <t xml:space="preserve">            fi = 2 * Acos(MikosToxoy / (4 * AKTina)) ' + Cos(kykloeidhs.xthesi.Value * PI / 360))</t>
  </si>
  <si>
    <t>fi = 0</t>
  </si>
  <si>
    <t>PLATOSKINHSHS = 4 * AKTina * Cos(kykloeidhs.xthesi.Value * PI / 2 / 180)</t>
  </si>
  <si>
    <t>S</t>
  </si>
  <si>
    <t>f</t>
  </si>
  <si>
    <t>x</t>
  </si>
  <si>
    <t>time</t>
  </si>
  <si>
    <t>efaptomeni</t>
  </si>
  <si>
    <t>y</t>
  </si>
  <si>
    <t>u</t>
  </si>
  <si>
    <t>M</t>
  </si>
  <si>
    <t>m'</t>
  </si>
  <si>
    <t>Φ</t>
  </si>
  <si>
    <t>scn</t>
  </si>
  <si>
    <t>SIMPLE PENDULUM</t>
  </si>
  <si>
    <t xml:space="preserve">CIRCULAR </t>
  </si>
  <si>
    <t>semicircle</t>
  </si>
  <si>
    <t>DGON</t>
  </si>
  <si>
    <t>ARXIKI</t>
  </si>
  <si>
    <t>INITIAL ANGLE</t>
  </si>
  <si>
    <t>SCN</t>
  </si>
  <si>
    <t>ALFA</t>
  </si>
  <si>
    <t>U</t>
  </si>
  <si>
    <t>CN</t>
  </si>
  <si>
    <t>Yy</t>
  </si>
  <si>
    <t>xcircular</t>
  </si>
  <si>
    <t>ycirlcular</t>
  </si>
  <si>
    <t>DN</t>
  </si>
  <si>
    <t>AD</t>
  </si>
  <si>
    <t>AB</t>
  </si>
  <si>
    <t>ForcBkataN = BAroS * Cos(GoNiaEF) 'äýíáìç âÜñïõò êáôÜ ôï  íÞìá</t>
  </si>
  <si>
    <t>aktinakamp = 2 * Sqr(-2 * theSIy1 * AKTina) 'aktinaKampyloTHTAS(THesix1, theSIy1, GonIa1) 'âñßóêù ôçí áêôßíá êáìðõëïôçôáò ôçò êáìðýëçò</t>
  </si>
  <si>
    <t xml:space="preserve">tashN = Mass * v2 / aktinaKamP2 + Abs(ForcBkataN) </t>
  </si>
  <si>
    <t xml:space="preserve">v2 = 2 * 10 * (Yarxiko0 - theSIy1) </t>
  </si>
  <si>
    <t>1/2MV²=MG(Yarxiko0-thesiy1)</t>
  </si>
  <si>
    <t>Yarxiko-</t>
  </si>
  <si>
    <t xml:space="preserve">v2 = </t>
  </si>
  <si>
    <t>baros</t>
  </si>
  <si>
    <t>TASHNX</t>
  </si>
  <si>
    <t>TASHNY</t>
  </si>
  <si>
    <t>BAROSX</t>
  </si>
  <si>
    <t>BAROSY</t>
  </si>
  <si>
    <t>Forcex</t>
  </si>
  <si>
    <t>forcey</t>
  </si>
  <si>
    <t>CYCLOID</t>
  </si>
  <si>
    <t>CIRCULAR PENDULUM</t>
  </si>
  <si>
    <t>MEGISTOy</t>
  </si>
  <si>
    <t>YCIRCULAR</t>
  </si>
  <si>
    <t>V2=</t>
  </si>
  <si>
    <t>V2/R</t>
  </si>
  <si>
    <t>A=</t>
  </si>
  <si>
    <t>BAROSn</t>
  </si>
  <si>
    <t>TASHSN=</t>
  </si>
  <si>
    <t>TASHSX</t>
  </si>
  <si>
    <t>TASHY</t>
  </si>
  <si>
    <t>TX</t>
  </si>
  <si>
    <t>TY</t>
  </si>
  <si>
    <t>EFAPTOMENH</t>
  </si>
  <si>
    <t>Bx</t>
  </si>
  <si>
    <t>By</t>
  </si>
  <si>
    <t>WEIGHT</t>
  </si>
  <si>
    <t>FORCE</t>
  </si>
  <si>
    <t>Fx</t>
  </si>
  <si>
    <t>Fy</t>
  </si>
  <si>
    <t xml:space="preserve">ELLIPTIC       </t>
  </si>
  <si>
    <t>TIME</t>
  </si>
  <si>
    <t>Z</t>
  </si>
  <si>
    <t>F(φ,k)</t>
  </si>
  <si>
    <t>K</t>
  </si>
  <si>
    <t>atan(an/bn*tan(φn))</t>
  </si>
  <si>
    <t>CYCLE OF CURVATURE</t>
  </si>
  <si>
    <t>R_KAMP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</si>
</sst>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>
    <font>
      <sz val="11"/>
      <color theme="1"/>
      <name val="Calibri"/>
      <family val="2"/>
      <charset val="161"/>
      <scheme val="minor"/>
    </font>
    <font>
      <sz val="10"/>
      <name val="New York"/>
      <charset val="161"/>
    </font>
    <font>
      <sz val="10"/>
      <color indexed="10"/>
      <name val="New York"/>
      <charset val="161"/>
    </font>
    <font>
      <b/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gray0625">
        <fgColor indexed="11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164" fontId="0" fillId="0" borderId="0" xfId="0" applyNumberFormat="1"/>
    <xf numFmtId="164" fontId="1" fillId="0" borderId="0" xfId="0" applyNumberFormat="1" applyFont="1"/>
    <xf numFmtId="2" fontId="2" fillId="2" borderId="0" xfId="0" applyNumberFormat="1" applyFont="1" applyFill="1" applyAlignment="1">
      <alignment horizontal="center"/>
    </xf>
    <xf numFmtId="0" fontId="1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1" xfId="0" applyFill="1" applyBorder="1"/>
    <xf numFmtId="0" fontId="0" fillId="5" borderId="9" xfId="0" applyFill="1" applyBorder="1"/>
    <xf numFmtId="0" fontId="0" fillId="5" borderId="2" xfId="0" applyFill="1" applyBorder="1"/>
    <xf numFmtId="0" fontId="0" fillId="5" borderId="5" xfId="0" applyFill="1" applyBorder="1"/>
    <xf numFmtId="0" fontId="0" fillId="5" borderId="10" xfId="0" applyFill="1" applyBorder="1"/>
    <xf numFmtId="0" fontId="0" fillId="5" borderId="6" xfId="0" applyFill="1" applyBorder="1"/>
    <xf numFmtId="0" fontId="0" fillId="4" borderId="0" xfId="0" applyFill="1"/>
    <xf numFmtId="0" fontId="4" fillId="4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Cycloid</a:t>
            </a:r>
            <a:r>
              <a:rPr lang="en-US" baseline="0"/>
              <a:t> pendulum</a:t>
            </a:r>
            <a:endParaRPr lang="el-G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7405898192687005E-2"/>
          <c:y val="1.2914021404383844E-2"/>
          <c:w val="0.95441616540142116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Calculations!$AB$3:$AB$203</c:f>
              <c:numCache>
                <c:formatCode>General</c:formatCode>
                <c:ptCount val="201"/>
                <c:pt idx="0">
                  <c:v>-3.1415926535897931</c:v>
                </c:pt>
                <c:pt idx="1">
                  <c:v>-3.11017931078278</c:v>
                </c:pt>
                <c:pt idx="2">
                  <c:v>-3.0787814672892386</c:v>
                </c:pt>
                <c:pt idx="3">
                  <c:v>-3.0474146071266897</c:v>
                </c:pt>
                <c:pt idx="4">
                  <c:v>-3.0160941837358459</c:v>
                </c:pt>
                <c:pt idx="5">
                  <c:v>-2.9848356047299336</c:v>
                </c:pt>
                <c:pt idx="6">
                  <c:v>-2.9536542166892379</c:v>
                </c:pt>
                <c:pt idx="7">
                  <c:v>-2.9225652900158803</c:v>
                </c:pt>
                <c:pt idx="8">
                  <c:v>-2.8915840038637755</c:v>
                </c:pt>
                <c:pt idx="9">
                  <c:v>-2.8607254311586394</c:v>
                </c:pt>
                <c:pt idx="10">
                  <c:v>-2.8300045237228315</c:v>
                </c:pt>
                <c:pt idx="11">
                  <c:v>-2.7994360975197106</c:v>
                </c:pt>
                <c:pt idx="12">
                  <c:v>-2.7690348180320687</c:v>
                </c:pt>
                <c:pt idx="13">
                  <c:v>-2.7388151857890684</c:v>
                </c:pt>
                <c:pt idx="14">
                  <c:v>-2.7087915220559737</c:v>
                </c:pt>
                <c:pt idx="15">
                  <c:v>-2.6789779547007875</c:v>
                </c:pt>
                <c:pt idx="16">
                  <c:v>-2.6493884042517548</c:v>
                </c:pt>
                <c:pt idx="17">
                  <c:v>-2.6200365701594777</c:v>
                </c:pt>
                <c:pt idx="18">
                  <c:v>-2.5909359172772164</c:v>
                </c:pt>
                <c:pt idx="19">
                  <c:v>-2.5620996625727006</c:v>
                </c:pt>
                <c:pt idx="20">
                  <c:v>-2.5335407620845802</c:v>
                </c:pt>
                <c:pt idx="21">
                  <c:v>-2.50527189813638</c:v>
                </c:pt>
                <c:pt idx="22">
                  <c:v>-2.4773054668205745</c:v>
                </c:pt>
                <c:pt idx="23">
                  <c:v>-2.4496535657651446</c:v>
                </c:pt>
                <c:pt idx="24">
                  <c:v>-2.4223279821946773</c:v>
                </c:pt>
                <c:pt idx="25">
                  <c:v>-2.395340181297799</c:v>
                </c:pt>
                <c:pt idx="26">
                  <c:v>-2.3687012949124182</c:v>
                </c:pt>
                <c:pt idx="27">
                  <c:v>-2.3424221105399452</c:v>
                </c:pt>
                <c:pt idx="28">
                  <c:v>-2.3165130606993314</c:v>
                </c:pt>
                <c:pt idx="29">
                  <c:v>-2.2909842126314319</c:v>
                </c:pt>
                <c:pt idx="30">
                  <c:v>-2.2658452583638544</c:v>
                </c:pt>
                <c:pt idx="31">
                  <c:v>-2.2411055051460984</c:v>
                </c:pt>
                <c:pt idx="32">
                  <c:v>-2.2167738662644232</c:v>
                </c:pt>
                <c:pt idx="33">
                  <c:v>-2.1928588522455099</c:v>
                </c:pt>
                <c:pt idx="34">
                  <c:v>-2.1693685624576009</c:v>
                </c:pt>
                <c:pt idx="35">
                  <c:v>-2.1463106771174001</c:v>
                </c:pt>
                <c:pt idx="36">
                  <c:v>-2.1236924497106253</c:v>
                </c:pt>
                <c:pt idx="37">
                  <c:v>-2.1015206998336953</c:v>
                </c:pt>
                <c:pt idx="38">
                  <c:v>-2.0798018064636112</c:v>
                </c:pt>
                <c:pt idx="39">
                  <c:v>-2.0585417016626746</c:v>
                </c:pt>
                <c:pt idx="40">
                  <c:v>-2.0377458647242617</c:v>
                </c:pt>
                <c:pt idx="41">
                  <c:v>-2.0174193167654182</c:v>
                </c:pt>
                <c:pt idx="42">
                  <c:v>-1.9975666157716245</c:v>
                </c:pt>
                <c:pt idx="43">
                  <c:v>-1.9781918520986175</c:v>
                </c:pt>
                <c:pt idx="44">
                  <c:v>-1.9592986444356979</c:v>
                </c:pt>
                <c:pt idx="45">
                  <c:v>-1.9408901362345243</c:v>
                </c:pt>
                <c:pt idx="46">
                  <c:v>-1.9229689926069053</c:v>
                </c:pt>
                <c:pt idx="47">
                  <c:v>-1.9055373976946548</c:v>
                </c:pt>
                <c:pt idx="48">
                  <c:v>-1.88859705251411</c:v>
                </c:pt>
                <c:pt idx="49">
                  <c:v>-1.8721491732774311</c:v>
                </c:pt>
                <c:pt idx="50">
                  <c:v>-1.8561944901923475</c:v>
                </c:pt>
                <c:pt idx="51">
                  <c:v>-1.8407332467415327</c:v>
                </c:pt>
                <c:pt idx="52">
                  <c:v>-1.8257651994423139</c:v>
                </c:pt>
                <c:pt idx="53">
                  <c:v>-1.8112896180869607</c:v>
                </c:pt>
                <c:pt idx="54">
                  <c:v>-1.7973052864633128</c:v>
                </c:pt>
                <c:pt idx="55">
                  <c:v>-1.7838105035550333</c:v>
                </c:pt>
                <c:pt idx="56">
                  <c:v>-1.7708030852203089</c:v>
                </c:pt>
                <c:pt idx="57">
                  <c:v>-1.7582803663473308</c:v>
                </c:pt>
                <c:pt idx="58">
                  <c:v>-1.7462392034844394</c:v>
                </c:pt>
                <c:pt idx="59">
                  <c:v>-1.7346759779423344</c:v>
                </c:pt>
                <c:pt idx="60">
                  <c:v>-1.7235865993652801</c:v>
                </c:pt>
                <c:pt idx="61">
                  <c:v>-1.7129665097677953</c:v>
                </c:pt>
                <c:pt idx="62">
                  <c:v>-1.7028106880328333</c:v>
                </c:pt>
                <c:pt idx="63">
                  <c:v>-1.6931136548670191</c:v>
                </c:pt>
                <c:pt idx="64">
                  <c:v>-1.683869478208051</c:v>
                </c:pt>
                <c:pt idx="65">
                  <c:v>-1.675071779078928</c:v>
                </c:pt>
                <c:pt idx="66">
                  <c:v>-1.6667137378832306</c:v>
                </c:pt>
                <c:pt idx="67">
                  <c:v>-1.6587881011352417</c:v>
                </c:pt>
                <c:pt idx="68">
                  <c:v>-1.651287188618257</c:v>
                </c:pt>
                <c:pt idx="69">
                  <c:v>-1.6442029009640349</c:v>
                </c:pt>
                <c:pt idx="70">
                  <c:v>-1.6375267276458931</c:v>
                </c:pt>
                <c:pt idx="71">
                  <c:v>-1.6312497553775722</c:v>
                </c:pt>
                <c:pt idx="72">
                  <c:v>-1.6253626769095739</c:v>
                </c:pt>
                <c:pt idx="73">
                  <c:v>-1.6198558002142898</c:v>
                </c:pt>
                <c:pt idx="74">
                  <c:v>-1.6147190580508646</c:v>
                </c:pt>
                <c:pt idx="75">
                  <c:v>-1.6099420179003476</c:v>
                </c:pt>
                <c:pt idx="76">
                  <c:v>-1.6055138922613281</c:v>
                </c:pt>
                <c:pt idx="77">
                  <c:v>-1.6014235492958975</c:v>
                </c:pt>
                <c:pt idx="78">
                  <c:v>-1.5976595238154294</c:v>
                </c:pt>
                <c:pt idx="79">
                  <c:v>-1.5942100285953369</c:v>
                </c:pt>
                <c:pt idx="80">
                  <c:v>-1.5910629660076396</c:v>
                </c:pt>
                <c:pt idx="81">
                  <c:v>-1.588205939959862</c:v>
                </c:pt>
                <c:pt idx="82">
                  <c:v>-1.5856262681284798</c:v>
                </c:pt>
                <c:pt idx="83">
                  <c:v>-1.5833109944748436</c:v>
                </c:pt>
                <c:pt idx="84">
                  <c:v>-1.5812469020312228</c:v>
                </c:pt>
                <c:pt idx="85">
                  <c:v>-1.5794205259443579</c:v>
                </c:pt>
                <c:pt idx="86">
                  <c:v>-1.5778181667636459</c:v>
                </c:pt>
                <c:pt idx="87">
                  <c:v>-1.576425903960843</c:v>
                </c:pt>
                <c:pt idx="88">
                  <c:v>-1.5752296096679452</c:v>
                </c:pt>
                <c:pt idx="89">
                  <c:v>-1.5742149626196895</c:v>
                </c:pt>
                <c:pt idx="90">
                  <c:v>-1.5733674622869127</c:v>
                </c:pt>
                <c:pt idx="91">
                  <c:v>-1.5726724431868226</c:v>
                </c:pt>
                <c:pt idx="92">
                  <c:v>-1.5721150893560609</c:v>
                </c:pt>
                <c:pt idx="93">
                  <c:v>-1.5716804489722682</c:v>
                </c:pt>
                <c:pt idx="94">
                  <c:v>-1.5713534491097281</c:v>
                </c:pt>
                <c:pt idx="95">
                  <c:v>-1.571118910614526</c:v>
                </c:pt>
                <c:pt idx="96">
                  <c:v>-1.5709615630845404</c:v>
                </c:pt>
                <c:pt idx="97">
                  <c:v>-1.5708660599394864</c:v>
                </c:pt>
                <c:pt idx="98">
                  <c:v>-1.5708169935661378</c:v>
                </c:pt>
                <c:pt idx="99">
                  <c:v>-1.5707989105237814</c:v>
                </c:pt>
                <c:pt idx="100">
                  <c:v>-1.5707963267948966</c:v>
                </c:pt>
                <c:pt idx="101">
                  <c:v>-1.5707937430660117</c:v>
                </c:pt>
                <c:pt idx="102">
                  <c:v>-1.5707756600236553</c:v>
                </c:pt>
                <c:pt idx="103">
                  <c:v>-1.570726593650307</c:v>
                </c:pt>
                <c:pt idx="104">
                  <c:v>-1.5706310905052527</c:v>
                </c:pt>
                <c:pt idx="105">
                  <c:v>-1.5704737429752673</c:v>
                </c:pt>
                <c:pt idx="106">
                  <c:v>-1.5702392044800653</c:v>
                </c:pt>
                <c:pt idx="107">
                  <c:v>-1.5699122046175251</c:v>
                </c:pt>
                <c:pt idx="108">
                  <c:v>-1.5694775642337324</c:v>
                </c:pt>
                <c:pt idx="109">
                  <c:v>-1.5689202104029705</c:v>
                </c:pt>
                <c:pt idx="110">
                  <c:v>-1.5682251913028806</c:v>
                </c:pt>
                <c:pt idx="111">
                  <c:v>-1.5673776909701038</c:v>
                </c:pt>
                <c:pt idx="112">
                  <c:v>-1.5663630439218481</c:v>
                </c:pt>
                <c:pt idx="113">
                  <c:v>-1.5651667496289505</c:v>
                </c:pt>
                <c:pt idx="114">
                  <c:v>-1.5637744868261474</c:v>
                </c:pt>
                <c:pt idx="115">
                  <c:v>-1.5621721276454357</c:v>
                </c:pt>
                <c:pt idx="116">
                  <c:v>-1.560345751558571</c:v>
                </c:pt>
                <c:pt idx="117">
                  <c:v>-1.55828165911495</c:v>
                </c:pt>
                <c:pt idx="118">
                  <c:v>-1.5559663854613139</c:v>
                </c:pt>
                <c:pt idx="119">
                  <c:v>-1.5533867136299317</c:v>
                </c:pt>
                <c:pt idx="120">
                  <c:v>-1.5505296875821544</c:v>
                </c:pt>
                <c:pt idx="121">
                  <c:v>-1.5473826249944569</c:v>
                </c:pt>
                <c:pt idx="122">
                  <c:v>-1.5439331297743646</c:v>
                </c:pt>
                <c:pt idx="123">
                  <c:v>-1.5401691042938968</c:v>
                </c:pt>
                <c:pt idx="124">
                  <c:v>-1.5360787613284663</c:v>
                </c:pt>
                <c:pt idx="125">
                  <c:v>-1.5316506356894468</c:v>
                </c:pt>
                <c:pt idx="126">
                  <c:v>-1.5268735955389299</c:v>
                </c:pt>
                <c:pt idx="127">
                  <c:v>-1.5217368533755049</c:v>
                </c:pt>
                <c:pt idx="128">
                  <c:v>-1.516229976680221</c:v>
                </c:pt>
                <c:pt idx="129">
                  <c:v>-1.5103428982122225</c:v>
                </c:pt>
                <c:pt idx="130">
                  <c:v>-1.5040659259439022</c:v>
                </c:pt>
                <c:pt idx="131">
                  <c:v>-1.4973897526257602</c:v>
                </c:pt>
                <c:pt idx="132">
                  <c:v>-1.4903054649715382</c:v>
                </c:pt>
                <c:pt idx="133">
                  <c:v>-1.4828045524545534</c:v>
                </c:pt>
                <c:pt idx="134">
                  <c:v>-1.4748789157065645</c:v>
                </c:pt>
                <c:pt idx="135">
                  <c:v>-1.4665208745108675</c:v>
                </c:pt>
                <c:pt idx="136">
                  <c:v>-1.4577231753817446</c:v>
                </c:pt>
                <c:pt idx="137">
                  <c:v>-1.4484789987227766</c:v>
                </c:pt>
                <c:pt idx="138">
                  <c:v>-1.4387819655569627</c:v>
                </c:pt>
                <c:pt idx="139">
                  <c:v>-1.4286261438220009</c:v>
                </c:pt>
                <c:pt idx="140">
                  <c:v>-1.4180060542245159</c:v>
                </c:pt>
                <c:pt idx="141">
                  <c:v>-1.4069166756474618</c:v>
                </c:pt>
                <c:pt idx="142">
                  <c:v>-1.3953534501053568</c:v>
                </c:pt>
                <c:pt idx="143">
                  <c:v>-1.3833122872424661</c:v>
                </c:pt>
                <c:pt idx="144">
                  <c:v>-1.3707895683694877</c:v>
                </c:pt>
                <c:pt idx="145">
                  <c:v>-1.3577821500347633</c:v>
                </c:pt>
                <c:pt idx="146">
                  <c:v>-1.3442873671264846</c:v>
                </c:pt>
                <c:pt idx="147">
                  <c:v>-1.3303030355028367</c:v>
                </c:pt>
                <c:pt idx="148">
                  <c:v>-1.3158274541474835</c:v>
                </c:pt>
                <c:pt idx="149">
                  <c:v>-1.3008594068482646</c:v>
                </c:pt>
                <c:pt idx="150">
                  <c:v>-1.2853981633974498</c:v>
                </c:pt>
                <c:pt idx="151">
                  <c:v>-1.2694434803123666</c:v>
                </c:pt>
                <c:pt idx="152">
                  <c:v>-1.2529956010756877</c:v>
                </c:pt>
                <c:pt idx="153">
                  <c:v>-1.236055255895143</c:v>
                </c:pt>
                <c:pt idx="154">
                  <c:v>-1.2186236609828929</c:v>
                </c:pt>
                <c:pt idx="155">
                  <c:v>-1.2007025173552739</c:v>
                </c:pt>
                <c:pt idx="156">
                  <c:v>-1.1822940091541005</c:v>
                </c:pt>
                <c:pt idx="157">
                  <c:v>-1.163400801491181</c:v>
                </c:pt>
                <c:pt idx="158">
                  <c:v>-1.1440260378181739</c:v>
                </c:pt>
                <c:pt idx="159">
                  <c:v>-1.1241733368243809</c:v>
                </c:pt>
                <c:pt idx="160">
                  <c:v>-1.1038467888655372</c:v>
                </c:pt>
                <c:pt idx="161">
                  <c:v>-1.0830509519271241</c:v>
                </c:pt>
                <c:pt idx="162">
                  <c:v>-1.0617908471261881</c:v>
                </c:pt>
                <c:pt idx="163">
                  <c:v>-1.0400719537561041</c:v>
                </c:pt>
                <c:pt idx="164">
                  <c:v>-1.0179002038791742</c:v>
                </c:pt>
                <c:pt idx="165">
                  <c:v>-0.99528197647239969</c:v>
                </c:pt>
                <c:pt idx="166">
                  <c:v>-0.97222409113219876</c:v>
                </c:pt>
                <c:pt idx="167">
                  <c:v>-0.94873380134428997</c:v>
                </c:pt>
                <c:pt idx="168">
                  <c:v>-0.92481878732537692</c:v>
                </c:pt>
                <c:pt idx="169">
                  <c:v>-0.90048714844370148</c:v>
                </c:pt>
                <c:pt idx="170">
                  <c:v>-0.87574739522594558</c:v>
                </c:pt>
                <c:pt idx="171">
                  <c:v>-0.85060844095836829</c:v>
                </c:pt>
                <c:pt idx="172">
                  <c:v>-0.82507959289046884</c:v>
                </c:pt>
                <c:pt idx="173">
                  <c:v>-0.79917054304985524</c:v>
                </c:pt>
                <c:pt idx="174">
                  <c:v>-0.77289135867738246</c:v>
                </c:pt>
                <c:pt idx="175">
                  <c:v>-0.74625247229200165</c:v>
                </c:pt>
                <c:pt idx="176">
                  <c:v>-0.71926467139512351</c:v>
                </c:pt>
                <c:pt idx="177">
                  <c:v>-0.6919390878246563</c:v>
                </c:pt>
                <c:pt idx="178">
                  <c:v>-0.6642871867692266</c:v>
                </c:pt>
                <c:pt idx="179">
                  <c:v>-0.63632075545342115</c:v>
                </c:pt>
                <c:pt idx="180">
                  <c:v>-0.60805189150522065</c:v>
                </c:pt>
                <c:pt idx="181">
                  <c:v>-0.57949299101710072</c:v>
                </c:pt>
                <c:pt idx="182">
                  <c:v>-0.55065673631258494</c:v>
                </c:pt>
                <c:pt idx="183">
                  <c:v>-0.52155608343032356</c:v>
                </c:pt>
                <c:pt idx="184">
                  <c:v>-0.4922042493380468</c:v>
                </c:pt>
                <c:pt idx="185">
                  <c:v>-0.4626146988890138</c:v>
                </c:pt>
                <c:pt idx="186">
                  <c:v>-0.43280113153382799</c:v>
                </c:pt>
                <c:pt idx="187">
                  <c:v>-0.4027774678007332</c:v>
                </c:pt>
                <c:pt idx="188">
                  <c:v>-0.37255783555773314</c:v>
                </c:pt>
                <c:pt idx="189">
                  <c:v>-0.3421565560700911</c:v>
                </c:pt>
                <c:pt idx="190">
                  <c:v>-0.31158812986697038</c:v>
                </c:pt>
                <c:pt idx="191">
                  <c:v>-0.28086722243116247</c:v>
                </c:pt>
                <c:pt idx="192">
                  <c:v>-0.25000864972602654</c:v>
                </c:pt>
                <c:pt idx="193">
                  <c:v>-0.21902736357392164</c:v>
                </c:pt>
                <c:pt idx="194">
                  <c:v>-0.18793843690056392</c:v>
                </c:pt>
                <c:pt idx="195">
                  <c:v>-0.15675704885986827</c:v>
                </c:pt>
                <c:pt idx="196">
                  <c:v>-0.12549846985395618</c:v>
                </c:pt>
                <c:pt idx="197">
                  <c:v>-9.4178046463112453E-2</c:v>
                </c:pt>
                <c:pt idx="198">
                  <c:v>-6.2811186300563204E-2</c:v>
                </c:pt>
                <c:pt idx="199">
                  <c:v>-3.1413342807021877E-2</c:v>
                </c:pt>
                <c:pt idx="200">
                  <c:v>-8.9430416197466833E-15</c:v>
                </c:pt>
              </c:numCache>
            </c:numRef>
          </c:xVal>
          <c:yVal>
            <c:numRef>
              <c:f>Calculations!$AC$3:$AC$203</c:f>
              <c:numCache>
                <c:formatCode>General</c:formatCode>
                <c:ptCount val="201"/>
                <c:pt idx="0">
                  <c:v>0</c:v>
                </c:pt>
                <c:pt idx="1">
                  <c:v>2.4671981713419999E-4</c:v>
                </c:pt>
                <c:pt idx="2">
                  <c:v>9.8663578586422052E-4</c:v>
                </c:pt>
                <c:pt idx="3">
                  <c:v>2.2190176984599463E-3</c:v>
                </c:pt>
                <c:pt idx="4">
                  <c:v>3.942649342761062E-3</c:v>
                </c:pt>
                <c:pt idx="5">
                  <c:v>6.1558297024310593E-3</c:v>
                </c:pt>
                <c:pt idx="6">
                  <c:v>8.8563746356555839E-3</c:v>
                </c:pt>
                <c:pt idx="7">
                  <c:v>1.2041619030626172E-2</c:v>
                </c:pt>
                <c:pt idx="8">
                  <c:v>1.5708419435684295E-2</c:v>
                </c:pt>
                <c:pt idx="9">
                  <c:v>1.9853157161528245E-2</c:v>
                </c:pt>
                <c:pt idx="10">
                  <c:v>2.4471741852422957E-2</c:v>
                </c:pt>
                <c:pt idx="11">
                  <c:v>2.9559615522886939E-2</c:v>
                </c:pt>
                <c:pt idx="12">
                  <c:v>3.5111757055873938E-2</c:v>
                </c:pt>
                <c:pt idx="13">
                  <c:v>4.1122687158008986E-2</c:v>
                </c:pt>
                <c:pt idx="14">
                  <c:v>4.7586473766989712E-2</c:v>
                </c:pt>
                <c:pt idx="15">
                  <c:v>5.4496737905815495E-2</c:v>
                </c:pt>
                <c:pt idx="16">
                  <c:v>6.1846659978067542E-2</c:v>
                </c:pt>
                <c:pt idx="17">
                  <c:v>6.9628986498027456E-2</c:v>
                </c:pt>
                <c:pt idx="18">
                  <c:v>7.783603724899163E-2</c:v>
                </c:pt>
                <c:pt idx="19">
                  <c:v>8.6459712862718141E-2</c:v>
                </c:pt>
                <c:pt idx="20">
                  <c:v>9.5491502812525275E-2</c:v>
                </c:pt>
                <c:pt idx="21">
                  <c:v>0.10492249381215368</c:v>
                </c:pt>
                <c:pt idx="22">
                  <c:v>0.11474337861210415</c:v>
                </c:pt>
                <c:pt idx="23">
                  <c:v>0.12494446518476893</c:v>
                </c:pt>
                <c:pt idx="24">
                  <c:v>0.13551568628929284</c:v>
                </c:pt>
                <c:pt idx="25">
                  <c:v>0.14644660940672471</c:v>
                </c:pt>
                <c:pt idx="26">
                  <c:v>0.15772644703565403</c:v>
                </c:pt>
                <c:pt idx="27">
                  <c:v>0.16934406733817231</c:v>
                </c:pt>
                <c:pt idx="28">
                  <c:v>0.18128800512565324</c:v>
                </c:pt>
                <c:pt idx="29">
                  <c:v>0.19354647317350976</c:v>
                </c:pt>
                <c:pt idx="30">
                  <c:v>0.20610737385376132</c:v>
                </c:pt>
                <c:pt idx="31">
                  <c:v>0.21895831107393243</c:v>
                </c:pt>
                <c:pt idx="32">
                  <c:v>0.23208660251049934</c:v>
                </c:pt>
                <c:pt idx="33">
                  <c:v>0.24547929212481184</c:v>
                </c:pt>
                <c:pt idx="34">
                  <c:v>0.25912316294913973</c:v>
                </c:pt>
                <c:pt idx="35">
                  <c:v>0.27300475013022385</c:v>
                </c:pt>
                <c:pt idx="36">
                  <c:v>0.28711035421746078</c:v>
                </c:pt>
                <c:pt idx="37">
                  <c:v>0.3014260546826068</c:v>
                </c:pt>
                <c:pt idx="38">
                  <c:v>0.31593772365765815</c:v>
                </c:pt>
                <c:pt idx="39">
                  <c:v>0.33063103987735143</c:v>
                </c:pt>
                <c:pt idx="40">
                  <c:v>0.34549150281252339</c:v>
                </c:pt>
                <c:pt idx="41">
                  <c:v>0.36050444698038242</c:v>
                </c:pt>
                <c:pt idx="42">
                  <c:v>0.37565505641756969</c:v>
                </c:pt>
                <c:pt idx="43">
                  <c:v>0.3909283793017258</c:v>
                </c:pt>
                <c:pt idx="44">
                  <c:v>0.40630934270713476</c:v>
                </c:pt>
                <c:pt idx="45">
                  <c:v>0.42178276747988164</c:v>
                </c:pt>
                <c:pt idx="46">
                  <c:v>0.43733338321784498</c:v>
                </c:pt>
                <c:pt idx="47">
                  <c:v>0.45294584334073995</c:v>
                </c:pt>
                <c:pt idx="48">
                  <c:v>0.46860474023534043</c:v>
                </c:pt>
                <c:pt idx="49">
                  <c:v>0.48429462046093297</c:v>
                </c:pt>
                <c:pt idx="50">
                  <c:v>0.49999999999999717</c:v>
                </c:pt>
                <c:pt idx="51">
                  <c:v>0.51570537953906137</c:v>
                </c:pt>
                <c:pt idx="52">
                  <c:v>0.53139525976465385</c:v>
                </c:pt>
                <c:pt idx="53">
                  <c:v>0.54705415665925439</c:v>
                </c:pt>
                <c:pt idx="54">
                  <c:v>0.56266661678214935</c:v>
                </c:pt>
                <c:pt idx="55">
                  <c:v>0.5782172325201127</c:v>
                </c:pt>
                <c:pt idx="56">
                  <c:v>0.59369065729285964</c:v>
                </c:pt>
                <c:pt idx="57">
                  <c:v>0.60907162069826859</c:v>
                </c:pt>
                <c:pt idx="58">
                  <c:v>0.62434494358242476</c:v>
                </c:pt>
                <c:pt idx="59">
                  <c:v>0.63949555301961203</c:v>
                </c:pt>
                <c:pt idx="60">
                  <c:v>0.65450849718747117</c:v>
                </c:pt>
                <c:pt idx="61">
                  <c:v>0.66936896012264324</c:v>
                </c:pt>
                <c:pt idx="62">
                  <c:v>0.68406227634233652</c:v>
                </c:pt>
                <c:pt idx="63">
                  <c:v>0.69857394531738792</c:v>
                </c:pt>
                <c:pt idx="64">
                  <c:v>0.712889645782534</c:v>
                </c:pt>
                <c:pt idx="65">
                  <c:v>0.72699524986977115</c:v>
                </c:pt>
                <c:pt idx="66">
                  <c:v>0.74087683705085539</c:v>
                </c:pt>
                <c:pt idx="67">
                  <c:v>0.75452070787518344</c:v>
                </c:pt>
                <c:pt idx="68">
                  <c:v>0.76791339748949627</c:v>
                </c:pt>
                <c:pt idx="69">
                  <c:v>0.78104168892606329</c:v>
                </c:pt>
                <c:pt idx="70">
                  <c:v>0.79389262614623468</c:v>
                </c:pt>
                <c:pt idx="71">
                  <c:v>0.8064535268264863</c:v>
                </c:pt>
                <c:pt idx="72">
                  <c:v>0.8187119948743431</c:v>
                </c:pt>
                <c:pt idx="73">
                  <c:v>0.83065593266182414</c:v>
                </c:pt>
                <c:pt idx="74">
                  <c:v>0.84227355296434259</c:v>
                </c:pt>
                <c:pt idx="75">
                  <c:v>0.85355339059327218</c:v>
                </c:pt>
                <c:pt idx="76">
                  <c:v>0.86448431371070411</c:v>
                </c:pt>
                <c:pt idx="77">
                  <c:v>0.87505553481522824</c:v>
                </c:pt>
                <c:pt idx="78">
                  <c:v>0.88525662138789318</c:v>
                </c:pt>
                <c:pt idx="79">
                  <c:v>0.89507750618784376</c:v>
                </c:pt>
                <c:pt idx="80">
                  <c:v>0.90450849718747239</c:v>
                </c:pt>
                <c:pt idx="81">
                  <c:v>0.91354028713727975</c:v>
                </c:pt>
                <c:pt idx="82">
                  <c:v>0.92216396275100632</c:v>
                </c:pt>
                <c:pt idx="83">
                  <c:v>0.93037101350197071</c:v>
                </c:pt>
                <c:pt idx="84">
                  <c:v>0.93815334002193085</c:v>
                </c:pt>
                <c:pt idx="85">
                  <c:v>0.94550326209418301</c:v>
                </c:pt>
                <c:pt idx="86">
                  <c:v>0.9524135262330089</c:v>
                </c:pt>
                <c:pt idx="87">
                  <c:v>0.95887731284198974</c:v>
                </c:pt>
                <c:pt idx="88">
                  <c:v>0.9648882429441249</c:v>
                </c:pt>
                <c:pt idx="89">
                  <c:v>0.97044038447711201</c:v>
                </c:pt>
                <c:pt idx="90">
                  <c:v>0.97552825814757615</c:v>
                </c:pt>
                <c:pt idx="91">
                  <c:v>0.98014684283847098</c:v>
                </c:pt>
                <c:pt idx="92">
                  <c:v>0.98429158056431509</c:v>
                </c:pt>
                <c:pt idx="93">
                  <c:v>0.98795838096937327</c:v>
                </c:pt>
                <c:pt idx="94">
                  <c:v>0.99114362536434397</c:v>
                </c:pt>
                <c:pt idx="95">
                  <c:v>0.99384417029756844</c:v>
                </c:pt>
                <c:pt idx="96">
                  <c:v>0.99605735065723866</c:v>
                </c:pt>
                <c:pt idx="97">
                  <c:v>0.99778098230153978</c:v>
                </c:pt>
                <c:pt idx="98">
                  <c:v>0.99901336421413567</c:v>
                </c:pt>
                <c:pt idx="99">
                  <c:v>0.99975328018286569</c:v>
                </c:pt>
                <c:pt idx="100">
                  <c:v>1</c:v>
                </c:pt>
                <c:pt idx="101">
                  <c:v>0.99975328018286591</c:v>
                </c:pt>
                <c:pt idx="102">
                  <c:v>0.99901336421413589</c:v>
                </c:pt>
                <c:pt idx="103">
                  <c:v>0.99778098230154022</c:v>
                </c:pt>
                <c:pt idx="104">
                  <c:v>0.99605735065723922</c:v>
                </c:pt>
                <c:pt idx="105">
                  <c:v>0.99384417029756922</c:v>
                </c:pt>
                <c:pt idx="106">
                  <c:v>0.99114362536434475</c:v>
                </c:pt>
                <c:pt idx="107">
                  <c:v>0.98795838096937416</c:v>
                </c:pt>
                <c:pt idx="108">
                  <c:v>0.98429158056431609</c:v>
                </c:pt>
                <c:pt idx="109">
                  <c:v>0.98014684283847209</c:v>
                </c:pt>
                <c:pt idx="110">
                  <c:v>0.97552825814757749</c:v>
                </c:pt>
                <c:pt idx="111">
                  <c:v>0.97044038447711345</c:v>
                </c:pt>
                <c:pt idx="112">
                  <c:v>0.96488824294412656</c:v>
                </c:pt>
                <c:pt idx="113">
                  <c:v>0.9588773128419914</c:v>
                </c:pt>
                <c:pt idx="114">
                  <c:v>0.95241352623301068</c:v>
                </c:pt>
                <c:pt idx="115">
                  <c:v>0.945503262094185</c:v>
                </c:pt>
                <c:pt idx="116">
                  <c:v>0.93815334002193285</c:v>
                </c:pt>
                <c:pt idx="117">
                  <c:v>0.93037101350197293</c:v>
                </c:pt>
                <c:pt idx="118">
                  <c:v>0.92216396275100876</c:v>
                </c:pt>
                <c:pt idx="119">
                  <c:v>0.91354028713728219</c:v>
                </c:pt>
                <c:pt idx="120">
                  <c:v>0.90450849718747506</c:v>
                </c:pt>
                <c:pt idx="121">
                  <c:v>0.89507750618784643</c:v>
                </c:pt>
                <c:pt idx="122">
                  <c:v>0.88525662138789596</c:v>
                </c:pt>
                <c:pt idx="123">
                  <c:v>0.87505553481523113</c:v>
                </c:pt>
                <c:pt idx="124">
                  <c:v>0.86448431371070722</c:v>
                </c:pt>
                <c:pt idx="125">
                  <c:v>0.85355339059327529</c:v>
                </c:pt>
                <c:pt idx="126">
                  <c:v>0.84227355296434581</c:v>
                </c:pt>
                <c:pt idx="127">
                  <c:v>0.83065593266182747</c:v>
                </c:pt>
                <c:pt idx="128">
                  <c:v>0.81871199487434643</c:v>
                </c:pt>
                <c:pt idx="129">
                  <c:v>0.80645352682648985</c:v>
                </c:pt>
                <c:pt idx="130">
                  <c:v>0.79389262614623823</c:v>
                </c:pt>
                <c:pt idx="131">
                  <c:v>0.78104168892606696</c:v>
                </c:pt>
                <c:pt idx="132">
                  <c:v>0.76791339748950005</c:v>
                </c:pt>
                <c:pt idx="133">
                  <c:v>0.75452070787518732</c:v>
                </c:pt>
                <c:pt idx="134">
                  <c:v>0.74087683705085938</c:v>
                </c:pt>
                <c:pt idx="135">
                  <c:v>0.72699524986977515</c:v>
                </c:pt>
                <c:pt idx="136">
                  <c:v>0.712889645782538</c:v>
                </c:pt>
                <c:pt idx="137">
                  <c:v>0.69857394531739203</c:v>
                </c:pt>
                <c:pt idx="138">
                  <c:v>0.68406227634234074</c:v>
                </c:pt>
                <c:pt idx="139">
                  <c:v>0.66936896012264735</c:v>
                </c:pt>
                <c:pt idx="140">
                  <c:v>0.65450849718747539</c:v>
                </c:pt>
                <c:pt idx="141">
                  <c:v>0.63949555301961636</c:v>
                </c:pt>
                <c:pt idx="142">
                  <c:v>0.62434494358242909</c:v>
                </c:pt>
                <c:pt idx="143">
                  <c:v>0.60907162069827292</c:v>
                </c:pt>
                <c:pt idx="144">
                  <c:v>0.59369065729286397</c:v>
                </c:pt>
                <c:pt idx="145">
                  <c:v>0.57821723252011714</c:v>
                </c:pt>
                <c:pt idx="146">
                  <c:v>0.56266661678215379</c:v>
                </c:pt>
                <c:pt idx="147">
                  <c:v>0.54705415665925883</c:v>
                </c:pt>
                <c:pt idx="148">
                  <c:v>0.53139525976465829</c:v>
                </c:pt>
                <c:pt idx="149">
                  <c:v>0.5157053795390657</c:v>
                </c:pt>
                <c:pt idx="150">
                  <c:v>0.50000000000000155</c:v>
                </c:pt>
                <c:pt idx="151">
                  <c:v>0.48429462046093741</c:v>
                </c:pt>
                <c:pt idx="152">
                  <c:v>0.46860474023534487</c:v>
                </c:pt>
                <c:pt idx="153">
                  <c:v>0.45294584334074434</c:v>
                </c:pt>
                <c:pt idx="154">
                  <c:v>0.43733338321784937</c:v>
                </c:pt>
                <c:pt idx="155">
                  <c:v>0.42178276747988602</c:v>
                </c:pt>
                <c:pt idx="156">
                  <c:v>0.40630934270713914</c:v>
                </c:pt>
                <c:pt idx="157">
                  <c:v>0.39092837930173013</c:v>
                </c:pt>
                <c:pt idx="158">
                  <c:v>0.37565505641757396</c:v>
                </c:pt>
                <c:pt idx="159">
                  <c:v>0.36050444698038675</c:v>
                </c:pt>
                <c:pt idx="160">
                  <c:v>0.34549150281252761</c:v>
                </c:pt>
                <c:pt idx="161">
                  <c:v>0.33063103987735554</c:v>
                </c:pt>
                <c:pt idx="162">
                  <c:v>0.31593772365766226</c:v>
                </c:pt>
                <c:pt idx="163">
                  <c:v>0.30142605468261086</c:v>
                </c:pt>
                <c:pt idx="164">
                  <c:v>0.28711035421746484</c:v>
                </c:pt>
                <c:pt idx="165">
                  <c:v>0.27300475013022785</c:v>
                </c:pt>
                <c:pt idx="166">
                  <c:v>0.25912316294914362</c:v>
                </c:pt>
                <c:pt idx="167">
                  <c:v>0.24547929212481567</c:v>
                </c:pt>
                <c:pt idx="168">
                  <c:v>0.23208660251050306</c:v>
                </c:pt>
                <c:pt idx="169">
                  <c:v>0.21895831107393615</c:v>
                </c:pt>
                <c:pt idx="170">
                  <c:v>0.20610737385376493</c:v>
                </c:pt>
                <c:pt idx="171">
                  <c:v>0.19354647317351326</c:v>
                </c:pt>
                <c:pt idx="172">
                  <c:v>0.18128800512565668</c:v>
                </c:pt>
                <c:pt idx="173">
                  <c:v>0.16934406733817564</c:v>
                </c:pt>
                <c:pt idx="174">
                  <c:v>0.15772644703565725</c:v>
                </c:pt>
                <c:pt idx="175">
                  <c:v>0.14644660940672782</c:v>
                </c:pt>
                <c:pt idx="176">
                  <c:v>0.13551568628929583</c:v>
                </c:pt>
                <c:pt idx="177">
                  <c:v>0.12494446518477187</c:v>
                </c:pt>
                <c:pt idx="178">
                  <c:v>0.11474337861210698</c:v>
                </c:pt>
                <c:pt idx="179">
                  <c:v>0.1049224938121564</c:v>
                </c:pt>
                <c:pt idx="180">
                  <c:v>9.5491502812527884E-2</c:v>
                </c:pt>
                <c:pt idx="181">
                  <c:v>8.6459712862720639E-2</c:v>
                </c:pt>
                <c:pt idx="182">
                  <c:v>7.7836037248994017E-2</c:v>
                </c:pt>
                <c:pt idx="183">
                  <c:v>6.9628986498029677E-2</c:v>
                </c:pt>
                <c:pt idx="184">
                  <c:v>6.1846659978069707E-2</c:v>
                </c:pt>
                <c:pt idx="185">
                  <c:v>5.4496737905817494E-2</c:v>
                </c:pt>
                <c:pt idx="186">
                  <c:v>4.7586473766991599E-2</c:v>
                </c:pt>
                <c:pt idx="187">
                  <c:v>4.1122687158010762E-2</c:v>
                </c:pt>
                <c:pt idx="188">
                  <c:v>3.5111757055875548E-2</c:v>
                </c:pt>
                <c:pt idx="189">
                  <c:v>2.9559615522888438E-2</c:v>
                </c:pt>
                <c:pt idx="190">
                  <c:v>2.4471741852424345E-2</c:v>
                </c:pt>
                <c:pt idx="191">
                  <c:v>1.9853157161529522E-2</c:v>
                </c:pt>
                <c:pt idx="192">
                  <c:v>1.5708419435685406E-2</c:v>
                </c:pt>
                <c:pt idx="193">
                  <c:v>1.2041619030627171E-2</c:v>
                </c:pt>
                <c:pt idx="194">
                  <c:v>8.8563746356564166E-3</c:v>
                </c:pt>
                <c:pt idx="195">
                  <c:v>6.155829702431781E-3</c:v>
                </c:pt>
                <c:pt idx="196">
                  <c:v>3.9426493427616172E-3</c:v>
                </c:pt>
                <c:pt idx="197">
                  <c:v>2.2190176984603904E-3</c:v>
                </c:pt>
                <c:pt idx="198">
                  <c:v>9.8663578586449807E-4</c:v>
                </c:pt>
                <c:pt idx="199">
                  <c:v>2.4671981713436653E-4</c:v>
                </c:pt>
                <c:pt idx="20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kykloeidis</c:v>
          </c:tx>
          <c:marker>
            <c:symbol val="none"/>
          </c:marker>
          <c:xVal>
            <c:numRef>
              <c:f>Calculations!$AD$3:$AD$203</c:f>
              <c:numCache>
                <c:formatCode>General</c:formatCode>
                <c:ptCount val="201"/>
                <c:pt idx="0">
                  <c:v>-3.1415926535897931</c:v>
                </c:pt>
                <c:pt idx="1">
                  <c:v>-3.1415900698609085</c:v>
                </c:pt>
                <c:pt idx="2">
                  <c:v>-3.1415719868185517</c:v>
                </c:pt>
                <c:pt idx="3">
                  <c:v>-3.1415229204452033</c:v>
                </c:pt>
                <c:pt idx="4">
                  <c:v>-3.1414274173001493</c:v>
                </c:pt>
                <c:pt idx="5">
                  <c:v>-3.1412700697701639</c:v>
                </c:pt>
                <c:pt idx="6">
                  <c:v>-3.1410355312749618</c:v>
                </c:pt>
                <c:pt idx="7">
                  <c:v>-3.1407085314124217</c:v>
                </c:pt>
                <c:pt idx="8">
                  <c:v>-3.1402738910286287</c:v>
                </c:pt>
                <c:pt idx="9">
                  <c:v>-3.139716537197867</c:v>
                </c:pt>
                <c:pt idx="10">
                  <c:v>-3.1390215180977772</c:v>
                </c:pt>
                <c:pt idx="11">
                  <c:v>-3.1381740177650004</c:v>
                </c:pt>
                <c:pt idx="12">
                  <c:v>-3.1371593707167444</c:v>
                </c:pt>
                <c:pt idx="13">
                  <c:v>-3.1359630764238471</c:v>
                </c:pt>
                <c:pt idx="14">
                  <c:v>-3.1345708136210439</c:v>
                </c:pt>
                <c:pt idx="15">
                  <c:v>-3.132968454440332</c:v>
                </c:pt>
                <c:pt idx="16">
                  <c:v>-3.1311420783534674</c:v>
                </c:pt>
                <c:pt idx="17">
                  <c:v>-3.1290779859098463</c:v>
                </c:pt>
                <c:pt idx="18">
                  <c:v>-3.1267627122562098</c:v>
                </c:pt>
                <c:pt idx="19">
                  <c:v>-3.1241830404248279</c:v>
                </c:pt>
                <c:pt idx="20">
                  <c:v>-3.1213260143770505</c:v>
                </c:pt>
                <c:pt idx="21">
                  <c:v>-3.118178951789353</c:v>
                </c:pt>
                <c:pt idx="22">
                  <c:v>-3.1147294565692607</c:v>
                </c:pt>
                <c:pt idx="23">
                  <c:v>-3.1109654310887929</c:v>
                </c:pt>
                <c:pt idx="24">
                  <c:v>-3.1068750881233624</c:v>
                </c:pt>
                <c:pt idx="25">
                  <c:v>-3.1024469624843425</c:v>
                </c:pt>
                <c:pt idx="26">
                  <c:v>-3.0976699223338255</c:v>
                </c:pt>
                <c:pt idx="27">
                  <c:v>-3.0925331801704008</c:v>
                </c:pt>
                <c:pt idx="28">
                  <c:v>-3.0870263034751164</c:v>
                </c:pt>
                <c:pt idx="29">
                  <c:v>-3.0811392250071181</c:v>
                </c:pt>
                <c:pt idx="30">
                  <c:v>-3.0748622527387979</c:v>
                </c:pt>
                <c:pt idx="31">
                  <c:v>-3.0681860794206561</c:v>
                </c:pt>
                <c:pt idx="32">
                  <c:v>-3.0611017917664336</c:v>
                </c:pt>
                <c:pt idx="33">
                  <c:v>-3.0536008792494487</c:v>
                </c:pt>
                <c:pt idx="34">
                  <c:v>-3.0456752425014599</c:v>
                </c:pt>
                <c:pt idx="35">
                  <c:v>-3.037317201305763</c:v>
                </c:pt>
                <c:pt idx="36">
                  <c:v>-3.02851950217664</c:v>
                </c:pt>
                <c:pt idx="37">
                  <c:v>-3.0192753255176719</c:v>
                </c:pt>
                <c:pt idx="38">
                  <c:v>-3.0095782923518577</c:v>
                </c:pt>
                <c:pt idx="39">
                  <c:v>-2.9994224706168957</c:v>
                </c:pt>
                <c:pt idx="40">
                  <c:v>-2.9888023810194109</c:v>
                </c:pt>
                <c:pt idx="41">
                  <c:v>-2.9777130024423566</c:v>
                </c:pt>
                <c:pt idx="42">
                  <c:v>-2.9661497769002518</c:v>
                </c:pt>
                <c:pt idx="43">
                  <c:v>-2.9541086140373611</c:v>
                </c:pt>
                <c:pt idx="44">
                  <c:v>-2.9415858951643825</c:v>
                </c:pt>
                <c:pt idx="45">
                  <c:v>-2.9285784768296579</c:v>
                </c:pt>
                <c:pt idx="46">
                  <c:v>-2.9150836939213791</c:v>
                </c:pt>
                <c:pt idx="47">
                  <c:v>-2.9010993622977312</c:v>
                </c:pt>
                <c:pt idx="48">
                  <c:v>-2.886623780942378</c:v>
                </c:pt>
                <c:pt idx="49">
                  <c:v>-2.8716557336431592</c:v>
                </c:pt>
                <c:pt idx="50">
                  <c:v>-2.8561944901923439</c:v>
                </c:pt>
                <c:pt idx="51">
                  <c:v>-2.840239807107261</c:v>
                </c:pt>
                <c:pt idx="52">
                  <c:v>-2.8237919278705821</c:v>
                </c:pt>
                <c:pt idx="53">
                  <c:v>-2.8068515826900371</c:v>
                </c:pt>
                <c:pt idx="54">
                  <c:v>-2.7894199877777872</c:v>
                </c:pt>
                <c:pt idx="55">
                  <c:v>-2.7714988441501678</c:v>
                </c:pt>
                <c:pt idx="56">
                  <c:v>-2.7530903359489942</c:v>
                </c:pt>
                <c:pt idx="57">
                  <c:v>-2.7341971282860746</c:v>
                </c:pt>
                <c:pt idx="58">
                  <c:v>-2.7148223646130676</c:v>
                </c:pt>
                <c:pt idx="59">
                  <c:v>-2.6949696636192746</c:v>
                </c:pt>
                <c:pt idx="60">
                  <c:v>-2.6746431156604307</c:v>
                </c:pt>
                <c:pt idx="61">
                  <c:v>-2.6538472787220178</c:v>
                </c:pt>
                <c:pt idx="62">
                  <c:v>-2.632587173921082</c:v>
                </c:pt>
                <c:pt idx="63">
                  <c:v>-2.6108682805509975</c:v>
                </c:pt>
                <c:pt idx="64">
                  <c:v>-2.5886965306740679</c:v>
                </c:pt>
                <c:pt idx="65">
                  <c:v>-2.5660783032672931</c:v>
                </c:pt>
                <c:pt idx="66">
                  <c:v>-2.5430204179270919</c:v>
                </c:pt>
                <c:pt idx="67">
                  <c:v>-2.5195301281391833</c:v>
                </c:pt>
                <c:pt idx="68">
                  <c:v>-2.49561511412027</c:v>
                </c:pt>
                <c:pt idx="69">
                  <c:v>-2.4712834752385948</c:v>
                </c:pt>
                <c:pt idx="70">
                  <c:v>-2.4465437220208388</c:v>
                </c:pt>
                <c:pt idx="71">
                  <c:v>-2.4214047677532613</c:v>
                </c:pt>
                <c:pt idx="72">
                  <c:v>-2.3958759196853618</c:v>
                </c:pt>
                <c:pt idx="73">
                  <c:v>-2.369966869844748</c:v>
                </c:pt>
                <c:pt idx="74">
                  <c:v>-2.3436876854722755</c:v>
                </c:pt>
                <c:pt idx="75">
                  <c:v>-2.3170487990868942</c:v>
                </c:pt>
                <c:pt idx="76">
                  <c:v>-2.2900609981900164</c:v>
                </c:pt>
                <c:pt idx="77">
                  <c:v>-2.2627354146195491</c:v>
                </c:pt>
                <c:pt idx="78">
                  <c:v>-2.2350835135641192</c:v>
                </c:pt>
                <c:pt idx="79">
                  <c:v>-2.2071170822483137</c:v>
                </c:pt>
                <c:pt idx="80">
                  <c:v>-2.1788482183001134</c:v>
                </c:pt>
                <c:pt idx="81">
                  <c:v>-2.1502893178119935</c:v>
                </c:pt>
                <c:pt idx="82">
                  <c:v>-2.1214530631074773</c:v>
                </c:pt>
                <c:pt idx="83">
                  <c:v>-2.092352410225216</c:v>
                </c:pt>
                <c:pt idx="84">
                  <c:v>-2.0630005761329393</c:v>
                </c:pt>
                <c:pt idx="85">
                  <c:v>-2.0334110256839062</c:v>
                </c:pt>
                <c:pt idx="86">
                  <c:v>-2.0035974583287204</c:v>
                </c:pt>
                <c:pt idx="87">
                  <c:v>-1.9735737945956255</c:v>
                </c:pt>
                <c:pt idx="88">
                  <c:v>-1.9433541623526254</c:v>
                </c:pt>
                <c:pt idx="89">
                  <c:v>-1.9129528828649833</c:v>
                </c:pt>
                <c:pt idx="90">
                  <c:v>-1.8823844566618626</c:v>
                </c:pt>
                <c:pt idx="91">
                  <c:v>-1.8516635492260547</c:v>
                </c:pt>
                <c:pt idx="92">
                  <c:v>-1.8208049765209187</c:v>
                </c:pt>
                <c:pt idx="93">
                  <c:v>-1.7898236903688138</c:v>
                </c:pt>
                <c:pt idx="94">
                  <c:v>-1.758734763695456</c:v>
                </c:pt>
                <c:pt idx="95">
                  <c:v>-1.7275533756547605</c:v>
                </c:pt>
                <c:pt idx="96">
                  <c:v>-1.6962947966488484</c:v>
                </c:pt>
                <c:pt idx="97">
                  <c:v>-1.6649743732580045</c:v>
                </c:pt>
                <c:pt idx="98">
                  <c:v>-1.6336075130954553</c:v>
                </c:pt>
                <c:pt idx="99">
                  <c:v>-1.6022096696019139</c:v>
                </c:pt>
                <c:pt idx="100">
                  <c:v>-1.570796326794901</c:v>
                </c:pt>
                <c:pt idx="101">
                  <c:v>-1.5393829839878881</c:v>
                </c:pt>
                <c:pt idx="102">
                  <c:v>-1.5079851404943467</c:v>
                </c:pt>
                <c:pt idx="103">
                  <c:v>-1.4766182803317975</c:v>
                </c:pt>
                <c:pt idx="104">
                  <c:v>-1.4452978569409538</c:v>
                </c:pt>
                <c:pt idx="105">
                  <c:v>-1.4140392779350417</c:v>
                </c:pt>
                <c:pt idx="106">
                  <c:v>-1.382857889894346</c:v>
                </c:pt>
                <c:pt idx="107">
                  <c:v>-1.3517689632209882</c:v>
                </c:pt>
                <c:pt idx="108">
                  <c:v>-1.3207876770688833</c:v>
                </c:pt>
                <c:pt idx="109">
                  <c:v>-1.2899291043637473</c:v>
                </c:pt>
                <c:pt idx="110">
                  <c:v>-1.2592081969279394</c:v>
                </c:pt>
                <c:pt idx="111">
                  <c:v>-1.2286397707248184</c:v>
                </c:pt>
                <c:pt idx="112">
                  <c:v>-1.1982384912371764</c:v>
                </c:pt>
                <c:pt idx="113">
                  <c:v>-1.1680188589941762</c:v>
                </c:pt>
                <c:pt idx="114">
                  <c:v>-1.1379951952610812</c:v>
                </c:pt>
                <c:pt idx="115">
                  <c:v>-1.1081816279058954</c:v>
                </c:pt>
                <c:pt idx="116">
                  <c:v>-1.0785920774568623</c:v>
                </c:pt>
                <c:pt idx="117">
                  <c:v>-1.0492402433645855</c:v>
                </c:pt>
                <c:pt idx="118">
                  <c:v>-1.0201395904823238</c:v>
                </c:pt>
                <c:pt idx="119">
                  <c:v>-0.99130333577780805</c:v>
                </c:pt>
                <c:pt idx="120">
                  <c:v>-0.96274443528968812</c:v>
                </c:pt>
                <c:pt idx="121">
                  <c:v>-0.9344755713414874</c:v>
                </c:pt>
                <c:pt idx="122">
                  <c:v>-0.90650914002568195</c:v>
                </c:pt>
                <c:pt idx="123">
                  <c:v>-0.87885723897025203</c:v>
                </c:pt>
                <c:pt idx="124">
                  <c:v>-0.8515316553997847</c:v>
                </c:pt>
                <c:pt idx="125">
                  <c:v>-0.82454385450290646</c:v>
                </c:pt>
                <c:pt idx="126">
                  <c:v>-0.7979049681175252</c:v>
                </c:pt>
                <c:pt idx="127">
                  <c:v>-0.7716257837450522</c:v>
                </c:pt>
                <c:pt idx="128">
                  <c:v>-0.74571673390443882</c:v>
                </c:pt>
                <c:pt idx="129">
                  <c:v>-0.72018788583653937</c:v>
                </c:pt>
                <c:pt idx="130">
                  <c:v>-0.69504893156896186</c:v>
                </c:pt>
                <c:pt idx="131">
                  <c:v>-0.6703091783512054</c:v>
                </c:pt>
                <c:pt idx="132">
                  <c:v>-0.64597753946952974</c:v>
                </c:pt>
                <c:pt idx="133">
                  <c:v>-0.62206252545061691</c:v>
                </c:pt>
                <c:pt idx="134">
                  <c:v>-0.5985722356627079</c:v>
                </c:pt>
                <c:pt idx="135">
                  <c:v>-0.57551435032250664</c:v>
                </c:pt>
                <c:pt idx="136">
                  <c:v>-0.55289612291573187</c:v>
                </c:pt>
                <c:pt idx="137">
                  <c:v>-0.53072437303880182</c:v>
                </c:pt>
                <c:pt idx="138">
                  <c:v>-0.50900547966871779</c:v>
                </c:pt>
                <c:pt idx="139">
                  <c:v>-0.48774537486778158</c:v>
                </c:pt>
                <c:pt idx="140">
                  <c:v>-0.46694953792936866</c:v>
                </c:pt>
                <c:pt idx="141">
                  <c:v>-0.44662298997052474</c:v>
                </c:pt>
                <c:pt idx="142">
                  <c:v>-0.42677028897673175</c:v>
                </c:pt>
                <c:pt idx="143">
                  <c:v>-0.40739552530372469</c:v>
                </c:pt>
                <c:pt idx="144">
                  <c:v>-0.38850231764080512</c:v>
                </c:pt>
                <c:pt idx="145">
                  <c:v>-0.37009380943963155</c:v>
                </c:pt>
                <c:pt idx="146">
                  <c:v>-0.35217266581201212</c:v>
                </c:pt>
                <c:pt idx="147">
                  <c:v>-0.33474107089976224</c:v>
                </c:pt>
                <c:pt idx="148">
                  <c:v>-0.31780072571921725</c:v>
                </c:pt>
                <c:pt idx="149">
                  <c:v>-0.30135284648253835</c:v>
                </c:pt>
                <c:pt idx="150">
                  <c:v>-0.28539816339745494</c:v>
                </c:pt>
                <c:pt idx="151">
                  <c:v>-0.26993691994664015</c:v>
                </c:pt>
                <c:pt idx="152">
                  <c:v>-0.25496887264742085</c:v>
                </c:pt>
                <c:pt idx="153">
                  <c:v>-0.24049329129206765</c:v>
                </c:pt>
                <c:pt idx="154">
                  <c:v>-0.22650895966841977</c:v>
                </c:pt>
                <c:pt idx="155">
                  <c:v>-0.21301417676014056</c:v>
                </c:pt>
                <c:pt idx="156">
                  <c:v>-0.20000675842541593</c:v>
                </c:pt>
                <c:pt idx="157">
                  <c:v>-0.18748403955243731</c:v>
                </c:pt>
                <c:pt idx="158">
                  <c:v>-0.17544287668954661</c:v>
                </c:pt>
                <c:pt idx="159">
                  <c:v>-0.16387965114744141</c:v>
                </c:pt>
                <c:pt idx="160">
                  <c:v>-0.15279027257038713</c:v>
                </c:pt>
                <c:pt idx="161">
                  <c:v>-0.14217018297290185</c:v>
                </c:pt>
                <c:pt idx="162">
                  <c:v>-0.13201436123793986</c:v>
                </c:pt>
                <c:pt idx="163">
                  <c:v>-0.1223173280721257</c:v>
                </c:pt>
                <c:pt idx="164">
                  <c:v>-0.11307315141315755</c:v>
                </c:pt>
                <c:pt idx="165">
                  <c:v>-0.10427545228403412</c:v>
                </c:pt>
                <c:pt idx="166">
                  <c:v>-9.5917411088337179E-2</c:v>
                </c:pt>
                <c:pt idx="167">
                  <c:v>-8.7991774340347995E-2</c:v>
                </c:pt>
                <c:pt idx="168">
                  <c:v>-8.0490861823363069E-2</c:v>
                </c:pt>
                <c:pt idx="169">
                  <c:v>-7.3406574169140537E-2</c:v>
                </c:pt>
                <c:pt idx="170">
                  <c:v>-6.6730400850998794E-2</c:v>
                </c:pt>
                <c:pt idx="171">
                  <c:v>-6.0453428582678104E-2</c:v>
                </c:pt>
                <c:pt idx="172">
                  <c:v>-5.4566350114679363E-2</c:v>
                </c:pt>
                <c:pt idx="173">
                  <c:v>-4.9059473419394983E-2</c:v>
                </c:pt>
                <c:pt idx="174">
                  <c:v>-4.3922731255970238E-2</c:v>
                </c:pt>
                <c:pt idx="175">
                  <c:v>-3.9145691105452851E-2</c:v>
                </c:pt>
                <c:pt idx="176">
                  <c:v>-3.4717565466433342E-2</c:v>
                </c:pt>
                <c:pt idx="177">
                  <c:v>-3.0627222501002471E-2</c:v>
                </c:pt>
                <c:pt idx="178">
                  <c:v>-2.6863197020534635E-2</c:v>
                </c:pt>
                <c:pt idx="179">
                  <c:v>-2.3413701800441888E-2</c:v>
                </c:pt>
                <c:pt idx="180">
                  <c:v>-2.0266639212744408E-2</c:v>
                </c:pt>
                <c:pt idx="181">
                  <c:v>-1.7409613164966586E-2</c:v>
                </c:pt>
                <c:pt idx="182">
                  <c:v>-1.4829941333584618E-2</c:v>
                </c:pt>
                <c:pt idx="183">
                  <c:v>-1.2514667679948133E-2</c:v>
                </c:pt>
                <c:pt idx="184">
                  <c:v>-1.0450575236327087E-2</c:v>
                </c:pt>
                <c:pt idx="185">
                  <c:v>-8.6241991494619974E-3</c:v>
                </c:pt>
                <c:pt idx="186">
                  <c:v>-7.0218399687500543E-3</c:v>
                </c:pt>
                <c:pt idx="187">
                  <c:v>-5.6295771659469196E-3</c:v>
                </c:pt>
                <c:pt idx="188">
                  <c:v>-4.4332828730491158E-3</c:v>
                </c:pt>
                <c:pt idx="189">
                  <c:v>-3.4186358247936255E-3</c:v>
                </c:pt>
                <c:pt idx="190">
                  <c:v>-2.5711354920163743E-3</c:v>
                </c:pt>
                <c:pt idx="191">
                  <c:v>-1.87611639192653E-3</c:v>
                </c:pt>
                <c:pt idx="192">
                  <c:v>-1.3187625611643661E-3</c:v>
                </c:pt>
                <c:pt idx="193">
                  <c:v>-8.8412217737143806E-4</c:v>
                </c:pt>
                <c:pt idx="194">
                  <c:v>-5.5712231483173724E-4</c:v>
                </c:pt>
                <c:pt idx="195">
                  <c:v>-3.2258381962924076E-4</c:v>
                </c:pt>
                <c:pt idx="196">
                  <c:v>-1.6523628964382198E-4</c:v>
                </c:pt>
                <c:pt idx="197">
                  <c:v>-6.9733144589800844E-5</c:v>
                </c:pt>
                <c:pt idx="198">
                  <c:v>-2.0666771241018012E-5</c:v>
                </c:pt>
                <c:pt idx="199">
                  <c:v>-2.5837288846197737E-6</c:v>
                </c:pt>
                <c:pt idx="200">
                  <c:v>0</c:v>
                </c:pt>
              </c:numCache>
            </c:numRef>
          </c:xVal>
          <c:yVal>
            <c:numRef>
              <c:f>Calculations!$AE$3:$AE$203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-2.4671981713419999E-4</c:v>
                </c:pt>
                <c:pt idx="2">
                  <c:v>-9.8663578586422052E-4</c:v>
                </c:pt>
                <c:pt idx="3">
                  <c:v>-2.2190176984600019E-3</c:v>
                </c:pt>
                <c:pt idx="4">
                  <c:v>-3.942649342761062E-3</c:v>
                </c:pt>
                <c:pt idx="5">
                  <c:v>-6.1558297024311148E-3</c:v>
                </c:pt>
                <c:pt idx="6">
                  <c:v>-8.8563746356556394E-3</c:v>
                </c:pt>
                <c:pt idx="7">
                  <c:v>-1.2041619030626283E-2</c:v>
                </c:pt>
                <c:pt idx="8">
                  <c:v>-1.5708419435684462E-2</c:v>
                </c:pt>
                <c:pt idx="9">
                  <c:v>-1.9853157161528467E-2</c:v>
                </c:pt>
                <c:pt idx="10">
                  <c:v>-2.4471741852423179E-2</c:v>
                </c:pt>
                <c:pt idx="11">
                  <c:v>-2.9559615522887273E-2</c:v>
                </c:pt>
                <c:pt idx="12">
                  <c:v>-3.5111757055874271E-2</c:v>
                </c:pt>
                <c:pt idx="13">
                  <c:v>-4.112268715800943E-2</c:v>
                </c:pt>
                <c:pt idx="14">
                  <c:v>-4.7586473766990212E-2</c:v>
                </c:pt>
                <c:pt idx="15">
                  <c:v>-5.4496737905816051E-2</c:v>
                </c:pt>
                <c:pt idx="16">
                  <c:v>-6.1846659978068208E-2</c:v>
                </c:pt>
                <c:pt idx="17">
                  <c:v>-6.9628986498028178E-2</c:v>
                </c:pt>
                <c:pt idx="18">
                  <c:v>-7.7836037248992462E-2</c:v>
                </c:pt>
                <c:pt idx="19">
                  <c:v>-8.6459712862719085E-2</c:v>
                </c:pt>
                <c:pt idx="20">
                  <c:v>-9.549150281252633E-2</c:v>
                </c:pt>
                <c:pt idx="21">
                  <c:v>-0.10492249381215485</c:v>
                </c:pt>
                <c:pt idx="22">
                  <c:v>-0.11474337861210543</c:v>
                </c:pt>
                <c:pt idx="23">
                  <c:v>-0.12494446518477031</c:v>
                </c:pt>
                <c:pt idx="24">
                  <c:v>-0.13551568628929433</c:v>
                </c:pt>
                <c:pt idx="25">
                  <c:v>-0.14644660940672632</c:v>
                </c:pt>
                <c:pt idx="26">
                  <c:v>-0.1577264470356558</c:v>
                </c:pt>
                <c:pt idx="27">
                  <c:v>-0.1693440673381742</c:v>
                </c:pt>
                <c:pt idx="28">
                  <c:v>-0.18128800512565529</c:v>
                </c:pt>
                <c:pt idx="29">
                  <c:v>-0.19354647317351192</c:v>
                </c:pt>
                <c:pt idx="30">
                  <c:v>-0.20610737385376365</c:v>
                </c:pt>
                <c:pt idx="31">
                  <c:v>-0.21895831107393493</c:v>
                </c:pt>
                <c:pt idx="32">
                  <c:v>-0.23208660251050189</c:v>
                </c:pt>
                <c:pt idx="33">
                  <c:v>-0.24547929212481456</c:v>
                </c:pt>
                <c:pt idx="34">
                  <c:v>-0.25912316294914262</c:v>
                </c:pt>
                <c:pt idx="35">
                  <c:v>-0.27300475013022685</c:v>
                </c:pt>
                <c:pt idx="36">
                  <c:v>-0.287110354217464</c:v>
                </c:pt>
                <c:pt idx="37">
                  <c:v>-0.30142605468261002</c:v>
                </c:pt>
                <c:pt idx="38">
                  <c:v>-0.31593772365766137</c:v>
                </c:pt>
                <c:pt idx="39">
                  <c:v>-0.33063103987735465</c:v>
                </c:pt>
                <c:pt idx="40">
                  <c:v>-0.34549150281252672</c:v>
                </c:pt>
                <c:pt idx="41">
                  <c:v>-0.36050444698038581</c:v>
                </c:pt>
                <c:pt idx="42">
                  <c:v>-0.37565505641757307</c:v>
                </c:pt>
                <c:pt idx="43">
                  <c:v>-0.39092837930172919</c:v>
                </c:pt>
                <c:pt idx="44">
                  <c:v>-0.4063093427071382</c:v>
                </c:pt>
                <c:pt idx="45">
                  <c:v>-0.42178276747988508</c:v>
                </c:pt>
                <c:pt idx="46">
                  <c:v>-0.43733338321784843</c:v>
                </c:pt>
                <c:pt idx="47">
                  <c:v>-0.45294584334074339</c:v>
                </c:pt>
                <c:pt idx="48">
                  <c:v>-0.46860474023534393</c:v>
                </c:pt>
                <c:pt idx="49">
                  <c:v>-0.48429462046093646</c:v>
                </c:pt>
                <c:pt idx="50">
                  <c:v>-0.50000000000000067</c:v>
                </c:pt>
                <c:pt idx="51">
                  <c:v>-0.51570537953906481</c:v>
                </c:pt>
                <c:pt idx="52">
                  <c:v>-0.5313952597646574</c:v>
                </c:pt>
                <c:pt idx="53">
                  <c:v>-0.54705415665925783</c:v>
                </c:pt>
                <c:pt idx="54">
                  <c:v>-0.5626666167821528</c:v>
                </c:pt>
                <c:pt idx="55">
                  <c:v>-0.57821723252011614</c:v>
                </c:pt>
                <c:pt idx="56">
                  <c:v>-0.59369065729286308</c:v>
                </c:pt>
                <c:pt idx="57">
                  <c:v>-0.60907162069827203</c:v>
                </c:pt>
                <c:pt idx="58">
                  <c:v>-0.6243449435824282</c:v>
                </c:pt>
                <c:pt idx="59">
                  <c:v>-0.63949555301961536</c:v>
                </c:pt>
                <c:pt idx="60">
                  <c:v>-0.6545084971874745</c:v>
                </c:pt>
                <c:pt idx="61">
                  <c:v>-0.66936896012264646</c:v>
                </c:pt>
                <c:pt idx="62">
                  <c:v>-0.68406227634233985</c:v>
                </c:pt>
                <c:pt idx="63">
                  <c:v>-0.69857394531739114</c:v>
                </c:pt>
                <c:pt idx="64">
                  <c:v>-0.71288964578253711</c:v>
                </c:pt>
                <c:pt idx="65">
                  <c:v>-0.72699524986977415</c:v>
                </c:pt>
                <c:pt idx="66">
                  <c:v>-0.74087683705085827</c:v>
                </c:pt>
                <c:pt idx="67">
                  <c:v>-0.75452070787518621</c:v>
                </c:pt>
                <c:pt idx="68">
                  <c:v>-0.76791339748949872</c:v>
                </c:pt>
                <c:pt idx="69">
                  <c:v>-0.78104168892606562</c:v>
                </c:pt>
                <c:pt idx="70">
                  <c:v>-0.7938926261462369</c:v>
                </c:pt>
                <c:pt idx="71">
                  <c:v>-0.80645352682648852</c:v>
                </c:pt>
                <c:pt idx="72">
                  <c:v>-0.81871199487434509</c:v>
                </c:pt>
                <c:pt idx="73">
                  <c:v>-0.83065593266182602</c:v>
                </c:pt>
                <c:pt idx="74">
                  <c:v>-0.84227355296434436</c:v>
                </c:pt>
                <c:pt idx="75">
                  <c:v>-0.85355339059327373</c:v>
                </c:pt>
                <c:pt idx="76">
                  <c:v>-0.86448431371070567</c:v>
                </c:pt>
                <c:pt idx="77">
                  <c:v>-0.87505553481522957</c:v>
                </c:pt>
                <c:pt idx="78">
                  <c:v>-0.8852566213878944</c:v>
                </c:pt>
                <c:pt idx="79">
                  <c:v>-0.89507750618784487</c:v>
                </c:pt>
                <c:pt idx="80">
                  <c:v>-0.9045084971874735</c:v>
                </c:pt>
                <c:pt idx="81">
                  <c:v>-0.91354028713728064</c:v>
                </c:pt>
                <c:pt idx="82">
                  <c:v>-0.9221639627510072</c:v>
                </c:pt>
                <c:pt idx="83">
                  <c:v>-0.93037101350197138</c:v>
                </c:pt>
                <c:pt idx="84">
                  <c:v>-0.9381533400219314</c:v>
                </c:pt>
                <c:pt idx="85">
                  <c:v>-0.94550326209418345</c:v>
                </c:pt>
                <c:pt idx="86">
                  <c:v>-0.95241352623300934</c:v>
                </c:pt>
                <c:pt idx="87">
                  <c:v>-0.95887731284199007</c:v>
                </c:pt>
                <c:pt idx="88">
                  <c:v>-0.96488824294412523</c:v>
                </c:pt>
                <c:pt idx="89">
                  <c:v>-0.97044038447711234</c:v>
                </c:pt>
                <c:pt idx="90">
                  <c:v>-0.97552825814757638</c:v>
                </c:pt>
                <c:pt idx="91">
                  <c:v>-0.9801468428384712</c:v>
                </c:pt>
                <c:pt idx="92">
                  <c:v>-0.98429158056431509</c:v>
                </c:pt>
                <c:pt idx="93">
                  <c:v>-0.98795838096937327</c:v>
                </c:pt>
                <c:pt idx="94">
                  <c:v>-0.99114362536434397</c:v>
                </c:pt>
                <c:pt idx="95">
                  <c:v>-0.99384417029756855</c:v>
                </c:pt>
                <c:pt idx="96">
                  <c:v>-0.99605735065723866</c:v>
                </c:pt>
                <c:pt idx="97">
                  <c:v>-0.99778098230153978</c:v>
                </c:pt>
                <c:pt idx="98">
                  <c:v>-0.99901336421413567</c:v>
                </c:pt>
                <c:pt idx="99">
                  <c:v>-0.99975328018286569</c:v>
                </c:pt>
                <c:pt idx="100">
                  <c:v>-1</c:v>
                </c:pt>
                <c:pt idx="101">
                  <c:v>-0.99975328018286591</c:v>
                </c:pt>
                <c:pt idx="102">
                  <c:v>-0.99901336421413589</c:v>
                </c:pt>
                <c:pt idx="103">
                  <c:v>-0.99778098230154022</c:v>
                </c:pt>
                <c:pt idx="104">
                  <c:v>-0.99605735065723922</c:v>
                </c:pt>
                <c:pt idx="105">
                  <c:v>-0.99384417029756933</c:v>
                </c:pt>
                <c:pt idx="106">
                  <c:v>-0.99114362536434486</c:v>
                </c:pt>
                <c:pt idx="107">
                  <c:v>-0.98795838096937438</c:v>
                </c:pt>
                <c:pt idx="108">
                  <c:v>-0.98429158056431632</c:v>
                </c:pt>
                <c:pt idx="109">
                  <c:v>-0.98014684283847242</c:v>
                </c:pt>
                <c:pt idx="110">
                  <c:v>-0.97552825814757771</c:v>
                </c:pt>
                <c:pt idx="111">
                  <c:v>-0.97044038447711389</c:v>
                </c:pt>
                <c:pt idx="112">
                  <c:v>-0.96488824294412701</c:v>
                </c:pt>
                <c:pt idx="113">
                  <c:v>-0.95887731284199196</c:v>
                </c:pt>
                <c:pt idx="114">
                  <c:v>-0.95241352623301134</c:v>
                </c:pt>
                <c:pt idx="115">
                  <c:v>-0.94550326209418556</c:v>
                </c:pt>
                <c:pt idx="116">
                  <c:v>-0.93815334002193351</c:v>
                </c:pt>
                <c:pt idx="117">
                  <c:v>-0.93037101350197382</c:v>
                </c:pt>
                <c:pt idx="118">
                  <c:v>-0.92216396275100965</c:v>
                </c:pt>
                <c:pt idx="119">
                  <c:v>-0.91354028713728308</c:v>
                </c:pt>
                <c:pt idx="120">
                  <c:v>-0.90450849718747617</c:v>
                </c:pt>
                <c:pt idx="121">
                  <c:v>-0.89507750618784776</c:v>
                </c:pt>
                <c:pt idx="122">
                  <c:v>-0.8852566213878974</c:v>
                </c:pt>
                <c:pt idx="123">
                  <c:v>-0.87505553481523268</c:v>
                </c:pt>
                <c:pt idx="124">
                  <c:v>-0.86448431371070877</c:v>
                </c:pt>
                <c:pt idx="125">
                  <c:v>-0.85355339059327695</c:v>
                </c:pt>
                <c:pt idx="126">
                  <c:v>-0.84227355296434769</c:v>
                </c:pt>
                <c:pt idx="127">
                  <c:v>-0.83065593266182947</c:v>
                </c:pt>
                <c:pt idx="128">
                  <c:v>-0.81871199487434854</c:v>
                </c:pt>
                <c:pt idx="129">
                  <c:v>-0.80645352682649207</c:v>
                </c:pt>
                <c:pt idx="130">
                  <c:v>-0.79389262614624057</c:v>
                </c:pt>
                <c:pt idx="131">
                  <c:v>-0.7810416889260694</c:v>
                </c:pt>
                <c:pt idx="132">
                  <c:v>-0.76791339748950271</c:v>
                </c:pt>
                <c:pt idx="133">
                  <c:v>-0.7545207078751901</c:v>
                </c:pt>
                <c:pt idx="134">
                  <c:v>-0.74087683705086227</c:v>
                </c:pt>
                <c:pt idx="135">
                  <c:v>-0.72699524986977826</c:v>
                </c:pt>
                <c:pt idx="136">
                  <c:v>-0.71288964578254133</c:v>
                </c:pt>
                <c:pt idx="137">
                  <c:v>-0.69857394531739547</c:v>
                </c:pt>
                <c:pt idx="138">
                  <c:v>-0.68406227634234429</c:v>
                </c:pt>
                <c:pt idx="139">
                  <c:v>-0.66936896012265112</c:v>
                </c:pt>
                <c:pt idx="140">
                  <c:v>-0.65450849718747928</c:v>
                </c:pt>
                <c:pt idx="141">
                  <c:v>-0.63949555301962036</c:v>
                </c:pt>
                <c:pt idx="142">
                  <c:v>-0.6243449435824332</c:v>
                </c:pt>
                <c:pt idx="143">
                  <c:v>-0.60907162069827725</c:v>
                </c:pt>
                <c:pt idx="144">
                  <c:v>-0.59369065729286841</c:v>
                </c:pt>
                <c:pt idx="145">
                  <c:v>-0.57821723252012169</c:v>
                </c:pt>
                <c:pt idx="146">
                  <c:v>-0.56266661678215846</c:v>
                </c:pt>
                <c:pt idx="147">
                  <c:v>-0.5470541566592636</c:v>
                </c:pt>
                <c:pt idx="148">
                  <c:v>-0.53139525976466329</c:v>
                </c:pt>
                <c:pt idx="149">
                  <c:v>-0.51570537953907081</c:v>
                </c:pt>
                <c:pt idx="150">
                  <c:v>-0.50000000000000677</c:v>
                </c:pt>
                <c:pt idx="151">
                  <c:v>-0.48429462046094268</c:v>
                </c:pt>
                <c:pt idx="152">
                  <c:v>-0.46860474023535026</c:v>
                </c:pt>
                <c:pt idx="153">
                  <c:v>-0.45294584334074983</c:v>
                </c:pt>
                <c:pt idx="154">
                  <c:v>-0.43733338321785492</c:v>
                </c:pt>
                <c:pt idx="155">
                  <c:v>-0.42178276747989168</c:v>
                </c:pt>
                <c:pt idx="156">
                  <c:v>-0.40630934270714486</c:v>
                </c:pt>
                <c:pt idx="157">
                  <c:v>-0.39092837930173591</c:v>
                </c:pt>
                <c:pt idx="158">
                  <c:v>-0.37565505641757985</c:v>
                </c:pt>
                <c:pt idx="159">
                  <c:v>-0.36050444698039263</c:v>
                </c:pt>
                <c:pt idx="160">
                  <c:v>-0.3454915028125336</c:v>
                </c:pt>
                <c:pt idx="161">
                  <c:v>-0.33063103987736159</c:v>
                </c:pt>
                <c:pt idx="162">
                  <c:v>-0.31593772365766826</c:v>
                </c:pt>
                <c:pt idx="163">
                  <c:v>-0.30142605468261696</c:v>
                </c:pt>
                <c:pt idx="164">
                  <c:v>-0.28711035421747089</c:v>
                </c:pt>
                <c:pt idx="165">
                  <c:v>-0.27300475013023384</c:v>
                </c:pt>
                <c:pt idx="166">
                  <c:v>-0.2591231629491495</c:v>
                </c:pt>
                <c:pt idx="167">
                  <c:v>-0.24547929212482145</c:v>
                </c:pt>
                <c:pt idx="168">
                  <c:v>-0.23208660251050878</c:v>
                </c:pt>
                <c:pt idx="169">
                  <c:v>-0.2189583110739417</c:v>
                </c:pt>
                <c:pt idx="170">
                  <c:v>-0.20610737385377037</c:v>
                </c:pt>
                <c:pt idx="171">
                  <c:v>-0.19354647317351859</c:v>
                </c:pt>
                <c:pt idx="172">
                  <c:v>-0.18128800512566184</c:v>
                </c:pt>
                <c:pt idx="173">
                  <c:v>-0.16934406733818069</c:v>
                </c:pt>
                <c:pt idx="174">
                  <c:v>-0.15772644703566213</c:v>
                </c:pt>
                <c:pt idx="175">
                  <c:v>-0.1464466094067326</c:v>
                </c:pt>
                <c:pt idx="176">
                  <c:v>-0.13551568628930044</c:v>
                </c:pt>
                <c:pt idx="177">
                  <c:v>-0.12494446518477631</c:v>
                </c:pt>
                <c:pt idx="178">
                  <c:v>-0.11474337861211131</c:v>
                </c:pt>
                <c:pt idx="179">
                  <c:v>-0.10492249381216057</c:v>
                </c:pt>
                <c:pt idx="180">
                  <c:v>-9.5491502812531825E-2</c:v>
                </c:pt>
                <c:pt idx="181">
                  <c:v>-8.6459712862724469E-2</c:v>
                </c:pt>
                <c:pt idx="182">
                  <c:v>-7.7836037248997625E-2</c:v>
                </c:pt>
                <c:pt idx="183">
                  <c:v>-6.9628986498033119E-2</c:v>
                </c:pt>
                <c:pt idx="184">
                  <c:v>-6.1846659978072926E-2</c:v>
                </c:pt>
                <c:pt idx="185">
                  <c:v>-5.4496737905820547E-2</c:v>
                </c:pt>
                <c:pt idx="186">
                  <c:v>-4.7586473766994486E-2</c:v>
                </c:pt>
                <c:pt idx="187">
                  <c:v>-4.1122687158013427E-2</c:v>
                </c:pt>
                <c:pt idx="188">
                  <c:v>-3.5111757055878046E-2</c:v>
                </c:pt>
                <c:pt idx="189">
                  <c:v>-2.9559615522890714E-2</c:v>
                </c:pt>
                <c:pt idx="190">
                  <c:v>-2.4471741852426399E-2</c:v>
                </c:pt>
                <c:pt idx="191">
                  <c:v>-1.9853157161531354E-2</c:v>
                </c:pt>
                <c:pt idx="192">
                  <c:v>-1.5708419435687071E-2</c:v>
                </c:pt>
                <c:pt idx="193">
                  <c:v>-1.2041619030628614E-2</c:v>
                </c:pt>
                <c:pt idx="194">
                  <c:v>-8.8563746356576378E-3</c:v>
                </c:pt>
                <c:pt idx="195">
                  <c:v>-6.1558297024328357E-3</c:v>
                </c:pt>
                <c:pt idx="196">
                  <c:v>-3.9426493427624498E-3</c:v>
                </c:pt>
                <c:pt idx="197">
                  <c:v>-2.2190176984610011E-3</c:v>
                </c:pt>
                <c:pt idx="198">
                  <c:v>-9.8663578586488665E-4</c:v>
                </c:pt>
                <c:pt idx="199">
                  <c:v>-2.4671981713458857E-4</c:v>
                </c:pt>
                <c:pt idx="200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v>kyklos</c:v>
          </c:tx>
          <c:spPr>
            <a:ln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xVal>
            <c:numRef>
              <c:f>Calculations!$AH$4:$AH$54</c:f>
              <c:numCache>
                <c:formatCode>General</c:formatCode>
                <c:ptCount val="51"/>
                <c:pt idx="0">
                  <c:v>-2.9434609527920612</c:v>
                </c:pt>
                <c:pt idx="1">
                  <c:v>-2.9395183034493</c:v>
                </c:pt>
                <c:pt idx="2">
                  <c:v>-2.9277525333563768</c:v>
                </c:pt>
                <c:pt idx="3">
                  <c:v>-2.9083491957361867</c:v>
                </c:pt>
                <c:pt idx="4">
                  <c:v>-2.881614292813993</c:v>
                </c:pt>
                <c:pt idx="5">
                  <c:v>-2.8479694499795345</c:v>
                </c:pt>
                <c:pt idx="6">
                  <c:v>-2.8079452665027667</c:v>
                </c:pt>
                <c:pt idx="7">
                  <c:v>-2.7621729476664054</c:v>
                </c:pt>
                <c:pt idx="8">
                  <c:v>-2.711374350281559</c:v>
                </c:pt>
                <c:pt idx="9">
                  <c:v>-2.6563505985745968</c:v>
                </c:pt>
                <c:pt idx="10">
                  <c:v>-2.5979694499795341</c:v>
                </c:pt>
                <c:pt idx="11">
                  <c:v>-2.5371516100849227</c:v>
                </c:pt>
                <c:pt idx="12">
                  <c:v>-2.4748562125567171</c:v>
                </c:pt>
                <c:pt idx="13">
                  <c:v>-2.4120656930274036</c:v>
                </c:pt>
                <c:pt idx="14">
                  <c:v>-2.3497702954991984</c:v>
                </c:pt>
                <c:pt idx="15">
                  <c:v>-2.288952455604587</c:v>
                </c:pt>
                <c:pt idx="16">
                  <c:v>-2.2305713070095243</c:v>
                </c:pt>
                <c:pt idx="17">
                  <c:v>-2.1755475553025625</c:v>
                </c:pt>
                <c:pt idx="18">
                  <c:v>-2.1247489579177161</c:v>
                </c:pt>
                <c:pt idx="19">
                  <c:v>-2.0789766390813549</c:v>
                </c:pt>
                <c:pt idx="20">
                  <c:v>-2.038952455604587</c:v>
                </c:pt>
                <c:pt idx="21">
                  <c:v>-2.005307612770129</c:v>
                </c:pt>
                <c:pt idx="22">
                  <c:v>-1.9785727098479353</c:v>
                </c:pt>
                <c:pt idx="23">
                  <c:v>-1.9591693722277455</c:v>
                </c:pt>
                <c:pt idx="24">
                  <c:v>-1.9474036021348222</c:v>
                </c:pt>
                <c:pt idx="25">
                  <c:v>-1.9434609527920612</c:v>
                </c:pt>
                <c:pt idx="26">
                  <c:v>-1.9474036021348224</c:v>
                </c:pt>
                <c:pt idx="27">
                  <c:v>-1.9591693722277457</c:v>
                </c:pt>
                <c:pt idx="28">
                  <c:v>-1.9785727098479358</c:v>
                </c:pt>
                <c:pt idx="29">
                  <c:v>-2.0053076127701299</c:v>
                </c:pt>
                <c:pt idx="30">
                  <c:v>-2.0389524556045879</c:v>
                </c:pt>
                <c:pt idx="31">
                  <c:v>-2.0789766390813558</c:v>
                </c:pt>
                <c:pt idx="32">
                  <c:v>-2.1247489579177166</c:v>
                </c:pt>
                <c:pt idx="33">
                  <c:v>-2.1755475553025634</c:v>
                </c:pt>
                <c:pt idx="34">
                  <c:v>-2.2305713070095252</c:v>
                </c:pt>
                <c:pt idx="35">
                  <c:v>-2.2889524556045879</c:v>
                </c:pt>
                <c:pt idx="36">
                  <c:v>-2.3497702954991992</c:v>
                </c:pt>
                <c:pt idx="37">
                  <c:v>-2.4120656930274049</c:v>
                </c:pt>
                <c:pt idx="38">
                  <c:v>-2.4748562125567184</c:v>
                </c:pt>
                <c:pt idx="39">
                  <c:v>-2.5371516100849236</c:v>
                </c:pt>
                <c:pt idx="40">
                  <c:v>-2.5979694499795354</c:v>
                </c:pt>
                <c:pt idx="41">
                  <c:v>-2.6563505985745977</c:v>
                </c:pt>
                <c:pt idx="42">
                  <c:v>-2.7113743502815599</c:v>
                </c:pt>
                <c:pt idx="43">
                  <c:v>-2.7621729476664063</c:v>
                </c:pt>
                <c:pt idx="44">
                  <c:v>-2.8079452665027675</c:v>
                </c:pt>
                <c:pt idx="45">
                  <c:v>-2.8479694499795354</c:v>
                </c:pt>
                <c:pt idx="46">
                  <c:v>-2.8816142928139934</c:v>
                </c:pt>
                <c:pt idx="47">
                  <c:v>-2.9083491957361871</c:v>
                </c:pt>
                <c:pt idx="48">
                  <c:v>-2.9277525333563768</c:v>
                </c:pt>
                <c:pt idx="49">
                  <c:v>-2.9395183034493004</c:v>
                </c:pt>
                <c:pt idx="50">
                  <c:v>-2.9434609527920612</c:v>
                </c:pt>
              </c:numCache>
            </c:numRef>
          </c:xVal>
          <c:yVal>
            <c:numRef>
              <c:f>Calculations!$AI$4:$AI$54</c:f>
              <c:numCache>
                <c:formatCode>General</c:formatCode>
                <c:ptCount val="51"/>
                <c:pt idx="0">
                  <c:v>-0.50000000000000011</c:v>
                </c:pt>
                <c:pt idx="1">
                  <c:v>-0.56266661678215224</c:v>
                </c:pt>
                <c:pt idx="2">
                  <c:v>-0.62434494358242765</c:v>
                </c:pt>
                <c:pt idx="3">
                  <c:v>-0.68406227634233929</c:v>
                </c:pt>
                <c:pt idx="4">
                  <c:v>-0.74087683705085805</c:v>
                </c:pt>
                <c:pt idx="5">
                  <c:v>-0.7938926261462369</c:v>
                </c:pt>
                <c:pt idx="6">
                  <c:v>-0.84227355296434481</c:v>
                </c:pt>
                <c:pt idx="7">
                  <c:v>-0.88525662138789496</c:v>
                </c:pt>
                <c:pt idx="8">
                  <c:v>-0.92216396275100787</c:v>
                </c:pt>
                <c:pt idx="9">
                  <c:v>-0.95241352623301012</c:v>
                </c:pt>
                <c:pt idx="10">
                  <c:v>-0.97552825814757704</c:v>
                </c:pt>
                <c:pt idx="11">
                  <c:v>-0.99114362536434442</c:v>
                </c:pt>
                <c:pt idx="12">
                  <c:v>-0.99901336421413589</c:v>
                </c:pt>
                <c:pt idx="13">
                  <c:v>-0.99901336421413567</c:v>
                </c:pt>
                <c:pt idx="14">
                  <c:v>-0.99114362536434419</c:v>
                </c:pt>
                <c:pt idx="15">
                  <c:v>-0.9755282581475766</c:v>
                </c:pt>
                <c:pt idx="16">
                  <c:v>-0.95241352623300946</c:v>
                </c:pt>
                <c:pt idx="17">
                  <c:v>-0.9221639627510072</c:v>
                </c:pt>
                <c:pt idx="18">
                  <c:v>-0.88525662138789429</c:v>
                </c:pt>
                <c:pt idx="19">
                  <c:v>-0.84227355296434392</c:v>
                </c:pt>
                <c:pt idx="20">
                  <c:v>-0.79389262614623612</c:v>
                </c:pt>
                <c:pt idx="21">
                  <c:v>-0.74087683705085716</c:v>
                </c:pt>
                <c:pt idx="22">
                  <c:v>-0.68406227634233852</c:v>
                </c:pt>
                <c:pt idx="23">
                  <c:v>-0.62434494358242687</c:v>
                </c:pt>
                <c:pt idx="24">
                  <c:v>-0.56266661678215157</c:v>
                </c:pt>
                <c:pt idx="25">
                  <c:v>-0.49999999999999944</c:v>
                </c:pt>
                <c:pt idx="26">
                  <c:v>-0.43733338321784732</c:v>
                </c:pt>
                <c:pt idx="27">
                  <c:v>-0.37565505641757208</c:v>
                </c:pt>
                <c:pt idx="28">
                  <c:v>-0.31593772365766049</c:v>
                </c:pt>
                <c:pt idx="29">
                  <c:v>-0.25912316294914184</c:v>
                </c:pt>
                <c:pt idx="30">
                  <c:v>-0.20610737385376299</c:v>
                </c:pt>
                <c:pt idx="31">
                  <c:v>-0.1577264470356553</c:v>
                </c:pt>
                <c:pt idx="32">
                  <c:v>-0.1147433786121051</c:v>
                </c:pt>
                <c:pt idx="33">
                  <c:v>-7.7836037248992185E-2</c:v>
                </c:pt>
                <c:pt idx="34">
                  <c:v>-4.7586473766990045E-2</c:v>
                </c:pt>
                <c:pt idx="35">
                  <c:v>-2.4471741852423068E-2</c:v>
                </c:pt>
                <c:pt idx="36">
                  <c:v>-8.8563746356555839E-3</c:v>
                </c:pt>
                <c:pt idx="37">
                  <c:v>-9.8663578586422052E-4</c:v>
                </c:pt>
                <c:pt idx="38">
                  <c:v>-9.8663578586422052E-4</c:v>
                </c:pt>
                <c:pt idx="39">
                  <c:v>-8.8563746356556949E-3</c:v>
                </c:pt>
                <c:pt idx="40">
                  <c:v>-2.447174185242329E-2</c:v>
                </c:pt>
                <c:pt idx="41">
                  <c:v>-4.7586473766990378E-2</c:v>
                </c:pt>
                <c:pt idx="42">
                  <c:v>-7.7836037248992629E-2</c:v>
                </c:pt>
                <c:pt idx="43">
                  <c:v>-0.11474337861210565</c:v>
                </c:pt>
                <c:pt idx="44">
                  <c:v>-0.15772644703565603</c:v>
                </c:pt>
                <c:pt idx="45">
                  <c:v>-0.20610737385376393</c:v>
                </c:pt>
                <c:pt idx="46">
                  <c:v>-0.25912316294914295</c:v>
                </c:pt>
                <c:pt idx="47">
                  <c:v>-0.31593772365766176</c:v>
                </c:pt>
                <c:pt idx="48">
                  <c:v>-0.37565505641757346</c:v>
                </c:pt>
                <c:pt idx="49">
                  <c:v>-0.43733338321784881</c:v>
                </c:pt>
                <c:pt idx="50">
                  <c:v>-0.500000000000001</c:v>
                </c:pt>
              </c:numCache>
            </c:numRef>
          </c:yVal>
          <c:smooth val="0"/>
        </c:ser>
        <c:ser>
          <c:idx val="3"/>
          <c:order val="3"/>
          <c:tx>
            <c:v>scyclycyc</c:v>
          </c:tx>
          <c:marker>
            <c:symbol val="none"/>
          </c:marker>
          <c:dPt>
            <c:idx val="1"/>
            <c:marker>
              <c:symbol val="triangle"/>
              <c:size val="5"/>
            </c:marker>
            <c:bubble3D val="0"/>
          </c:dPt>
          <c:xVal>
            <c:numRef>
              <c:f>Calculations!$U$7:$U$8</c:f>
              <c:numCache>
                <c:formatCode>General</c:formatCode>
                <c:ptCount val="2"/>
                <c:pt idx="0">
                  <c:v>-2.9358648292981653</c:v>
                </c:pt>
                <c:pt idx="1">
                  <c:v>-2.4434609527920612</c:v>
                </c:pt>
              </c:numCache>
            </c:numRef>
          </c:xVal>
          <c:yVal>
            <c:numRef>
              <c:f>Calculations!$V$7:$V$8</c:f>
              <c:numCache>
                <c:formatCode>General</c:formatCode>
                <c:ptCount val="2"/>
                <c:pt idx="0">
                  <c:v>-0.4131759111665349</c:v>
                </c:pt>
                <c:pt idx="1">
                  <c:v>-0.5</c:v>
                </c:pt>
              </c:numCache>
            </c:numRef>
          </c:yVal>
          <c:smooth val="0"/>
        </c:ser>
        <c:ser>
          <c:idx val="4"/>
          <c:order val="4"/>
          <c:tx>
            <c:v>radiuscuirve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xVal>
            <c:numRef>
              <c:f>(Calculations!$U$7,Calculations!$U$9)</c:f>
              <c:numCache>
                <c:formatCode>General</c:formatCode>
                <c:ptCount val="2"/>
                <c:pt idx="0">
                  <c:v>-2.9358648292981653</c:v>
                </c:pt>
                <c:pt idx="1">
                  <c:v>-1.9510570762859574</c:v>
                </c:pt>
              </c:numCache>
            </c:numRef>
          </c:xVal>
          <c:yVal>
            <c:numRef>
              <c:f>(Calculations!$V$7,Calculations!$V$9)</c:f>
              <c:numCache>
                <c:formatCode>General</c:formatCode>
                <c:ptCount val="2"/>
                <c:pt idx="0">
                  <c:v>-0.4131759111665349</c:v>
                </c:pt>
                <c:pt idx="1">
                  <c:v>0.41317591116653479</c:v>
                </c:pt>
              </c:numCache>
            </c:numRef>
          </c:yVal>
          <c:smooth val="0"/>
        </c:ser>
        <c:ser>
          <c:idx val="5"/>
          <c:order val="5"/>
          <c:tx>
            <c:v>xy</c:v>
          </c:tx>
          <c:marker>
            <c:symbol val="none"/>
          </c:marker>
          <c:dPt>
            <c:idx val="0"/>
            <c:marker>
              <c:symbol val="diamond"/>
              <c:size val="11"/>
            </c:marker>
            <c:bubble3D val="0"/>
          </c:dPt>
          <c:dPt>
            <c:idx val="1"/>
            <c:marker>
              <c:symbol val="diamond"/>
              <c:size val="9"/>
              <c:spPr>
                <a:solidFill>
                  <a:srgbClr val="FF0000"/>
                </a:solidFill>
              </c:spPr>
            </c:marker>
            <c:bubble3D val="0"/>
            <c:spPr>
              <a:ln>
                <a:noFill/>
              </a:ln>
            </c:spPr>
          </c:dPt>
          <c:xVal>
            <c:numRef>
              <c:f>Calculations!$N$2:$O$2</c:f>
              <c:numCache>
                <c:formatCode>General</c:formatCode>
                <c:ptCount val="2"/>
                <c:pt idx="0">
                  <c:v>-2.9358648292981653</c:v>
                </c:pt>
                <c:pt idx="1">
                  <c:v>0</c:v>
                </c:pt>
              </c:numCache>
            </c:numRef>
          </c:xVal>
          <c:yVal>
            <c:numRef>
              <c:f>Calculations!$N$3:$O$3</c:f>
              <c:numCache>
                <c:formatCode>General</c:formatCode>
                <c:ptCount val="2"/>
                <c:pt idx="0">
                  <c:v>-0.4131759111665349</c:v>
                </c:pt>
                <c:pt idx="1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v>TASH</c:v>
          </c:tx>
          <c:marker>
            <c:symbol val="none"/>
          </c:marker>
          <c:xVal>
            <c:numRef>
              <c:f>Calculations!$E$28:$E$32</c:f>
              <c:numCache>
                <c:formatCode>0.00000</c:formatCode>
                <c:ptCount val="5"/>
                <c:pt idx="0">
                  <c:v>-2.9358648292981653</c:v>
                </c:pt>
                <c:pt idx="1">
                  <c:v>-2.0612404813459766</c:v>
                </c:pt>
                <c:pt idx="2" formatCode="0.00">
                  <c:v>-2.185397764530463</c:v>
                </c:pt>
                <c:pt idx="3" formatCode="0.00">
                  <c:v>-2.112008067751928</c:v>
                </c:pt>
                <c:pt idx="4" formatCode="General">
                  <c:v>-2.0612404813459766</c:v>
                </c:pt>
              </c:numCache>
            </c:numRef>
          </c:xVal>
          <c:yVal>
            <c:numRef>
              <c:f>Calculations!$F$28:$F$32</c:f>
              <c:numCache>
                <c:formatCode>0.00000</c:formatCode>
                <c:ptCount val="5"/>
                <c:pt idx="0">
                  <c:v>-0.4131759111665349</c:v>
                </c:pt>
                <c:pt idx="1">
                  <c:v>0.32072105661881584</c:v>
                </c:pt>
                <c:pt idx="2" formatCode="0.00">
                  <c:v>0.29106257723789025</c:v>
                </c:pt>
                <c:pt idx="3" formatCode="0.00">
                  <c:v>0.20360014244267138</c:v>
                </c:pt>
                <c:pt idx="4" formatCode="General">
                  <c:v>0.32072105661881584</c:v>
                </c:pt>
              </c:numCache>
            </c:numRef>
          </c:yVal>
          <c:smooth val="0"/>
        </c:ser>
        <c:ser>
          <c:idx val="7"/>
          <c:order val="7"/>
          <c:tx>
            <c:v>BAROS</c:v>
          </c:tx>
          <c:marker>
            <c:symbol val="none"/>
          </c:marker>
          <c:xVal>
            <c:numRef>
              <c:f>Calculations!$H$28:$H$32</c:f>
              <c:numCache>
                <c:formatCode>0.00000</c:formatCode>
                <c:ptCount val="5"/>
                <c:pt idx="0">
                  <c:v>-2.9358648292981653</c:v>
                </c:pt>
                <c:pt idx="1">
                  <c:v>-2.9358648292981653</c:v>
                </c:pt>
                <c:pt idx="2" formatCode="0.00">
                  <c:v>-2.8704871626314987</c:v>
                </c:pt>
                <c:pt idx="3" formatCode="0.00">
                  <c:v>-3.0012424959648318</c:v>
                </c:pt>
                <c:pt idx="4" formatCode="General">
                  <c:v>-2.9358648292981653</c:v>
                </c:pt>
              </c:numCache>
            </c:numRef>
          </c:xVal>
          <c:yVal>
            <c:numRef>
              <c:f>Calculations!$I$28:$I$32</c:f>
              <c:numCache>
                <c:formatCode>0.00000</c:formatCode>
                <c:ptCount val="5"/>
                <c:pt idx="0">
                  <c:v>-0.4131759111665349</c:v>
                </c:pt>
                <c:pt idx="1">
                  <c:v>-1.7207292444998683</c:v>
                </c:pt>
                <c:pt idx="2" formatCode="0.00">
                  <c:v>-1.589973911166535</c:v>
                </c:pt>
                <c:pt idx="3" formatCode="0.00">
                  <c:v>-1.589973911166535</c:v>
                </c:pt>
                <c:pt idx="4" formatCode="General">
                  <c:v>-1.7207292444998683</c:v>
                </c:pt>
              </c:numCache>
            </c:numRef>
          </c:yVal>
          <c:smooth val="0"/>
        </c:ser>
        <c:ser>
          <c:idx val="8"/>
          <c:order val="8"/>
          <c:tx>
            <c:v>force</c:v>
          </c:tx>
          <c:marker>
            <c:symbol val="none"/>
          </c:marker>
          <c:xVal>
            <c:numRef>
              <c:f>Calculations!$H$36:$H$40</c:f>
              <c:numCache>
                <c:formatCode>0.00000</c:formatCode>
                <c:ptCount val="5"/>
                <c:pt idx="0">
                  <c:v>-2.9358648292981653</c:v>
                </c:pt>
                <c:pt idx="1">
                  <c:v>-2.0612404813459766</c:v>
                </c:pt>
                <c:pt idx="2" formatCode="0.00">
                  <c:v>-2.1200200978637964</c:v>
                </c:pt>
                <c:pt idx="3" formatCode="0.00">
                  <c:v>-2.1773857344185945</c:v>
                </c:pt>
                <c:pt idx="4" formatCode="General">
                  <c:v>-2.0612404813459766</c:v>
                </c:pt>
              </c:numCache>
            </c:numRef>
          </c:xVal>
          <c:yVal>
            <c:numRef>
              <c:f>Calculations!$I$36:$I$40</c:f>
              <c:numCache>
                <c:formatCode>0.00000</c:formatCode>
                <c:ptCount val="5"/>
                <c:pt idx="0">
                  <c:v>-0.4131759111665349</c:v>
                </c:pt>
                <c:pt idx="1">
                  <c:v>-0.98683227671451745</c:v>
                </c:pt>
                <c:pt idx="2" formatCode="0.00">
                  <c:v>-0.88573542276210993</c:v>
                </c:pt>
                <c:pt idx="3" formatCode="0.00">
                  <c:v>-0.97319785755732879</c:v>
                </c:pt>
                <c:pt idx="4" formatCode="General">
                  <c:v>-0.98683227671451745</c:v>
                </c:pt>
              </c:numCache>
            </c:numRef>
          </c:yVal>
          <c:smooth val="0"/>
        </c:ser>
        <c:ser>
          <c:idx val="9"/>
          <c:order val="9"/>
          <c:tx>
            <c:v>CURVATURE CIRCLE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Calculations!$AW$5:$AW$55</c:f>
              <c:numCache>
                <c:formatCode>General</c:formatCode>
                <c:ptCount val="51"/>
                <c:pt idx="0">
                  <c:v>-0.91949948210169818</c:v>
                </c:pt>
                <c:pt idx="1">
                  <c:v>-0.9285024509022457</c:v>
                </c:pt>
                <c:pt idx="2">
                  <c:v>-0.95536937510779141</c:v>
                </c:pt>
                <c:pt idx="3">
                  <c:v>-0.99967654727409072</c:v>
                </c:pt>
                <c:pt idx="4">
                  <c:v>-1.0607252168282597</c:v>
                </c:pt>
                <c:pt idx="5">
                  <c:v>-1.1375526097827213</c:v>
                </c:pt>
                <c:pt idx="6">
                  <c:v>-1.2289471122561242</c:v>
                </c:pt>
                <c:pt idx="7">
                  <c:v>-1.3334673783480326</c:v>
                </c:pt>
                <c:pt idx="8">
                  <c:v>-1.4494650610247977</c:v>
                </c:pt>
                <c:pt idx="9">
                  <c:v>-1.5751108075369493</c:v>
                </c:pt>
                <c:pt idx="10">
                  <c:v>-1.7084231094048603</c:v>
                </c:pt>
                <c:pt idx="11">
                  <c:v>-1.8472995519911646</c:v>
                </c:pt>
                <c:pt idx="12">
                  <c:v>-1.9895499708355104</c:v>
                </c:pt>
                <c:pt idx="13">
                  <c:v>-2.1329309918564419</c:v>
                </c:pt>
                <c:pt idx="14">
                  <c:v>-2.2751814107007879</c:v>
                </c:pt>
                <c:pt idx="15">
                  <c:v>-2.4140578532870922</c:v>
                </c:pt>
                <c:pt idx="16">
                  <c:v>-2.5473701551550034</c:v>
                </c:pt>
                <c:pt idx="17">
                  <c:v>-2.6730159016671551</c:v>
                </c:pt>
                <c:pt idx="18">
                  <c:v>-2.7890135843439205</c:v>
                </c:pt>
                <c:pt idx="19">
                  <c:v>-2.893533850435829</c:v>
                </c:pt>
                <c:pt idx="20">
                  <c:v>-2.9849283529092321</c:v>
                </c:pt>
                <c:pt idx="21">
                  <c:v>-3.0617557458636941</c:v>
                </c:pt>
                <c:pt idx="22">
                  <c:v>-3.1228044154178627</c:v>
                </c:pt>
                <c:pt idx="23">
                  <c:v>-3.167111587584162</c:v>
                </c:pt>
                <c:pt idx="24">
                  <c:v>-3.1939785117897075</c:v>
                </c:pt>
                <c:pt idx="25">
                  <c:v>-3.202981480590255</c:v>
                </c:pt>
                <c:pt idx="26">
                  <c:v>-3.193978511789707</c:v>
                </c:pt>
                <c:pt idx="27">
                  <c:v>-3.1671115875841611</c:v>
                </c:pt>
                <c:pt idx="28">
                  <c:v>-3.1228044154178618</c:v>
                </c:pt>
                <c:pt idx="29">
                  <c:v>-3.0617557458636924</c:v>
                </c:pt>
                <c:pt idx="30">
                  <c:v>-2.9849283529092303</c:v>
                </c:pt>
                <c:pt idx="31">
                  <c:v>-2.8935338504358272</c:v>
                </c:pt>
                <c:pt idx="32">
                  <c:v>-2.7890135843439188</c:v>
                </c:pt>
                <c:pt idx="33">
                  <c:v>-2.6730159016671533</c:v>
                </c:pt>
                <c:pt idx="34">
                  <c:v>-2.5473701551550012</c:v>
                </c:pt>
                <c:pt idx="35">
                  <c:v>-2.41405785328709</c:v>
                </c:pt>
                <c:pt idx="36">
                  <c:v>-2.2751814107007853</c:v>
                </c:pt>
                <c:pt idx="37">
                  <c:v>-2.1329309918564392</c:v>
                </c:pt>
                <c:pt idx="38">
                  <c:v>-1.9895499708355076</c:v>
                </c:pt>
                <c:pt idx="39">
                  <c:v>-1.8472995519911612</c:v>
                </c:pt>
                <c:pt idx="40">
                  <c:v>-1.708423109404857</c:v>
                </c:pt>
                <c:pt idx="41">
                  <c:v>-1.575110807536946</c:v>
                </c:pt>
                <c:pt idx="42">
                  <c:v>-1.4494650610247943</c:v>
                </c:pt>
                <c:pt idx="43">
                  <c:v>-1.3334673783480295</c:v>
                </c:pt>
                <c:pt idx="44">
                  <c:v>-1.2289471122561209</c:v>
                </c:pt>
                <c:pt idx="45">
                  <c:v>-1.1375526097827184</c:v>
                </c:pt>
                <c:pt idx="46">
                  <c:v>-1.0607252168282573</c:v>
                </c:pt>
                <c:pt idx="47">
                  <c:v>-0.99967654727408872</c:v>
                </c:pt>
                <c:pt idx="48">
                  <c:v>-0.95536937510779008</c:v>
                </c:pt>
                <c:pt idx="49">
                  <c:v>-0.92850245090224526</c:v>
                </c:pt>
                <c:pt idx="50">
                  <c:v>-0.91949948210169818</c:v>
                </c:pt>
              </c:numCache>
            </c:numRef>
          </c:xVal>
          <c:yVal>
            <c:numRef>
              <c:f>Calculations!$AX$5:$AX$55</c:f>
              <c:numCache>
                <c:formatCode>General</c:formatCode>
                <c:ptCount val="51"/>
                <c:pt idx="0">
                  <c:v>0.32072105661881584</c:v>
                </c:pt>
                <c:pt idx="1">
                  <c:v>0.46381914794704115</c:v>
                </c:pt>
                <c:pt idx="2">
                  <c:v>0.60466049689236401</c:v>
                </c:pt>
                <c:pt idx="3">
                  <c:v>0.74102395124737308</c:v>
                </c:pt>
                <c:pt idx="4">
                  <c:v>0.87075897787731082</c:v>
                </c:pt>
                <c:pt idx="5">
                  <c:v>0.99181957791227449</c:v>
                </c:pt>
                <c:pt idx="6">
                  <c:v>1.1022965533716156</c:v>
                </c:pt>
                <c:pt idx="7">
                  <c:v>1.2004476163565947</c:v>
                </c:pt>
                <c:pt idx="8">
                  <c:v>1.2847248659713351</c:v>
                </c:pt>
                <c:pt idx="9">
                  <c:v>1.3537991996446241</c:v>
                </c:pt>
                <c:pt idx="10">
                  <c:v>1.4065812738714267</c:v>
                </c:pt>
                <c:pt idx="11">
                  <c:v>1.442238683810704</c:v>
                </c:pt>
                <c:pt idx="12">
                  <c:v>1.4602090908070087</c:v>
                </c:pt>
                <c:pt idx="13">
                  <c:v>1.4602090908070087</c:v>
                </c:pt>
                <c:pt idx="14">
                  <c:v>1.442238683810704</c:v>
                </c:pt>
                <c:pt idx="15">
                  <c:v>1.4065812738714272</c:v>
                </c:pt>
                <c:pt idx="16">
                  <c:v>1.3537991996446244</c:v>
                </c:pt>
                <c:pt idx="17">
                  <c:v>1.2847248659713353</c:v>
                </c:pt>
                <c:pt idx="18">
                  <c:v>1.2004476163565947</c:v>
                </c:pt>
                <c:pt idx="19">
                  <c:v>1.1022965533716156</c:v>
                </c:pt>
                <c:pt idx="20">
                  <c:v>0.99181957791227404</c:v>
                </c:pt>
                <c:pt idx="21">
                  <c:v>0.87075897787731016</c:v>
                </c:pt>
                <c:pt idx="22">
                  <c:v>0.7410239512473723</c:v>
                </c:pt>
                <c:pt idx="23">
                  <c:v>0.60466049689236301</c:v>
                </c:pt>
                <c:pt idx="24">
                  <c:v>0.46381914794703993</c:v>
                </c:pt>
                <c:pt idx="25">
                  <c:v>0.32072105661881445</c:v>
                </c:pt>
                <c:pt idx="26">
                  <c:v>0.17762296529058902</c:v>
                </c:pt>
                <c:pt idx="27">
                  <c:v>3.6781616345265944E-2</c:v>
                </c:pt>
                <c:pt idx="28">
                  <c:v>-9.958183800974324E-2</c:v>
                </c:pt>
                <c:pt idx="29">
                  <c:v>-0.22931686463968087</c:v>
                </c:pt>
                <c:pt idx="30">
                  <c:v>-0.35037746467464465</c:v>
                </c:pt>
                <c:pt idx="31">
                  <c:v>-0.46085444013398585</c:v>
                </c:pt>
                <c:pt idx="32">
                  <c:v>-0.55900550311896446</c:v>
                </c:pt>
                <c:pt idx="33">
                  <c:v>-0.64328275273370483</c:v>
                </c:pt>
                <c:pt idx="34">
                  <c:v>-0.71235708640699347</c:v>
                </c:pt>
                <c:pt idx="35">
                  <c:v>-0.76513916063379583</c:v>
                </c:pt>
                <c:pt idx="36">
                  <c:v>-0.80079657057307263</c:v>
                </c:pt>
                <c:pt idx="37">
                  <c:v>-0.81876697756937711</c:v>
                </c:pt>
                <c:pt idx="38">
                  <c:v>-0.81876697756937666</c:v>
                </c:pt>
                <c:pt idx="39">
                  <c:v>-0.80079657057307152</c:v>
                </c:pt>
                <c:pt idx="40">
                  <c:v>-0.76513916063379384</c:v>
                </c:pt>
                <c:pt idx="41">
                  <c:v>-0.71235708640699058</c:v>
                </c:pt>
                <c:pt idx="42">
                  <c:v>-0.64328275273370128</c:v>
                </c:pt>
                <c:pt idx="43">
                  <c:v>-0.55900550311896025</c:v>
                </c:pt>
                <c:pt idx="44">
                  <c:v>-0.46085444013398075</c:v>
                </c:pt>
                <c:pt idx="45">
                  <c:v>-0.35037746467463876</c:v>
                </c:pt>
                <c:pt idx="46">
                  <c:v>-0.22931686463967466</c:v>
                </c:pt>
                <c:pt idx="47">
                  <c:v>-9.9581838009736523E-2</c:v>
                </c:pt>
                <c:pt idx="48">
                  <c:v>3.6781616345272938E-2</c:v>
                </c:pt>
                <c:pt idx="49">
                  <c:v>0.17762296529059612</c:v>
                </c:pt>
                <c:pt idx="50">
                  <c:v>0.32072105661882166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24544"/>
        <c:axId val="198934528"/>
      </c:scatterChart>
      <c:valAx>
        <c:axId val="198924544"/>
        <c:scaling>
          <c:orientation val="minMax"/>
          <c:max val="1"/>
          <c:min val="-4"/>
        </c:scaling>
        <c:delete val="0"/>
        <c:axPos val="b"/>
        <c:numFmt formatCode="General" sourceLinked="1"/>
        <c:majorTickMark val="out"/>
        <c:minorTickMark val="none"/>
        <c:tickLblPos val="nextTo"/>
        <c:crossAx val="198934528"/>
        <c:crosses val="autoZero"/>
        <c:crossBetween val="midCat"/>
      </c:valAx>
      <c:valAx>
        <c:axId val="198934528"/>
        <c:scaling>
          <c:orientation val="minMax"/>
          <c:max val="2"/>
          <c:min val="-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924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Simple pendulum</a:t>
            </a:r>
            <a:endParaRPr lang="el-GR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Calculations!$AP$5:$AP$105</c:f>
              <c:numCache>
                <c:formatCode>General</c:formatCode>
                <c:ptCount val="101"/>
                <c:pt idx="0">
                  <c:v>-3.5707963267948966</c:v>
                </c:pt>
                <c:pt idx="1">
                  <c:v>-3.5698094475263598</c:v>
                </c:pt>
                <c:pt idx="2">
                  <c:v>-3.5668497836514397</c:v>
                </c:pt>
                <c:pt idx="3">
                  <c:v>-3.5619202560010566</c:v>
                </c:pt>
                <c:pt idx="4">
                  <c:v>-3.5550257294238521</c:v>
                </c:pt>
                <c:pt idx="5">
                  <c:v>-3.5461730079851721</c:v>
                </c:pt>
                <c:pt idx="6">
                  <c:v>-3.5353708282522738</c:v>
                </c:pt>
                <c:pt idx="7">
                  <c:v>-3.5226298506723914</c:v>
                </c:pt>
                <c:pt idx="8">
                  <c:v>-3.5079626490521587</c:v>
                </c:pt>
                <c:pt idx="9">
                  <c:v>-3.4913836981487822</c:v>
                </c:pt>
                <c:pt idx="10">
                  <c:v>-3.4729093593852034</c:v>
                </c:pt>
                <c:pt idx="11">
                  <c:v>-3.4525578647033472</c:v>
                </c:pt>
                <c:pt idx="12">
                  <c:v>-3.4303492985713993</c:v>
                </c:pt>
                <c:pt idx="13">
                  <c:v>-3.4063055781628586</c:v>
                </c:pt>
                <c:pt idx="14">
                  <c:v>-3.3804504317269348</c:v>
                </c:pt>
                <c:pt idx="15">
                  <c:v>-3.3528093751716317</c:v>
                </c:pt>
                <c:pt idx="16">
                  <c:v>-3.3234096868826231</c:v>
                </c:pt>
                <c:pt idx="17">
                  <c:v>-3.292280380802783</c:v>
                </c:pt>
                <c:pt idx="18">
                  <c:v>-3.2594521777989258</c:v>
                </c:pt>
                <c:pt idx="19">
                  <c:v>-3.2249574753440191</c:v>
                </c:pt>
                <c:pt idx="20">
                  <c:v>-3.1888303155447906</c:v>
                </c:pt>
                <c:pt idx="21">
                  <c:v>-3.1511063515462761</c:v>
                </c:pt>
                <c:pt idx="22">
                  <c:v>-3.1118228123464737</c:v>
                </c:pt>
                <c:pt idx="23">
                  <c:v>-3.071018466055814</c:v>
                </c:pt>
                <c:pt idx="24">
                  <c:v>-3.0287335816377183</c:v>
                </c:pt>
                <c:pt idx="25">
                  <c:v>-2.9850098891679897</c:v>
                </c:pt>
                <c:pt idx="26">
                  <c:v>-2.9398905386522722</c:v>
                </c:pt>
                <c:pt idx="27">
                  <c:v>-2.8934200574421984</c:v>
                </c:pt>
                <c:pt idx="28">
                  <c:v>-2.8456443062922743</c:v>
                </c:pt>
                <c:pt idx="29">
                  <c:v>-2.7966104341008475</c:v>
                </c:pt>
                <c:pt idx="30">
                  <c:v>-2.7463668313798406</c:v>
                </c:pt>
                <c:pt idx="31">
                  <c:v>-2.6949630824991555</c:v>
                </c:pt>
                <c:pt idx="32">
                  <c:v>-2.6424499167528874</c:v>
                </c:pt>
                <c:pt idx="33">
                  <c:v>-2.5888791582956365</c:v>
                </c:pt>
                <c:pt idx="34">
                  <c:v>-2.5343036749983243</c:v>
                </c:pt>
                <c:pt idx="35">
                  <c:v>-2.4787773262739874</c:v>
                </c:pt>
                <c:pt idx="36">
                  <c:v>-2.4223549099250392</c:v>
                </c:pt>
                <c:pt idx="37">
                  <c:v>-2.3650921080644549</c:v>
                </c:pt>
                <c:pt idx="38">
                  <c:v>-2.3070454321642497</c:v>
                </c:pt>
                <c:pt idx="39">
                  <c:v>-2.2482721672854766</c:v>
                </c:pt>
                <c:pt idx="40">
                  <c:v>-2.1888303155447888</c:v>
                </c:pt>
                <c:pt idx="41">
                  <c:v>-2.1287785388733522</c:v>
                </c:pt>
                <c:pt idx="42">
                  <c:v>-2.0681761011246032</c:v>
                </c:pt>
                <c:pt idx="43">
                  <c:v>-2.0070828095879789</c:v>
                </c:pt>
                <c:pt idx="44">
                  <c:v>-1.9455589559663431</c:v>
                </c:pt>
                <c:pt idx="45">
                  <c:v>-1.8836652568753556</c:v>
                </c:pt>
                <c:pt idx="46">
                  <c:v>-1.8214627939235024</c:v>
                </c:pt>
                <c:pt idx="47">
                  <c:v>-1.7590129534319225</c:v>
                </c:pt>
                <c:pt idx="48">
                  <c:v>-1.6963773658535206</c:v>
                </c:pt>
                <c:pt idx="49">
                  <c:v>-1.6336178449511505</c:v>
                </c:pt>
                <c:pt idx="50">
                  <c:v>-1.5707963267948939</c:v>
                </c:pt>
                <c:pt idx="51">
                  <c:v>-1.5079748086386373</c:v>
                </c:pt>
                <c:pt idx="52">
                  <c:v>-1.445215287736267</c:v>
                </c:pt>
                <c:pt idx="53">
                  <c:v>-1.3825797001578652</c:v>
                </c:pt>
                <c:pt idx="54">
                  <c:v>-1.3201298596662854</c:v>
                </c:pt>
                <c:pt idx="55">
                  <c:v>-1.257927396714432</c:v>
                </c:pt>
                <c:pt idx="56">
                  <c:v>-1.1960336976234447</c:v>
                </c:pt>
                <c:pt idx="57">
                  <c:v>-1.1345098440018089</c:v>
                </c:pt>
                <c:pt idx="58">
                  <c:v>-1.0734165524651844</c:v>
                </c:pt>
                <c:pt idx="59">
                  <c:v>-1.0128141147164356</c:v>
                </c:pt>
                <c:pt idx="60">
                  <c:v>-0.95276233804499921</c:v>
                </c:pt>
                <c:pt idx="61">
                  <c:v>-0.89332048630431138</c:v>
                </c:pt>
                <c:pt idx="62">
                  <c:v>-0.83454722142553828</c:v>
                </c:pt>
                <c:pt idx="63">
                  <c:v>-0.77650054552533299</c:v>
                </c:pt>
                <c:pt idx="64">
                  <c:v>-0.71923774366474891</c:v>
                </c:pt>
                <c:pt idx="65">
                  <c:v>-0.66281532731580073</c:v>
                </c:pt>
                <c:pt idx="66">
                  <c:v>-0.6072889785914638</c:v>
                </c:pt>
                <c:pt idx="67">
                  <c:v>-0.5527134952941517</c:v>
                </c:pt>
                <c:pt idx="68">
                  <c:v>-0.49914273683690102</c:v>
                </c:pt>
                <c:pt idx="69">
                  <c:v>-0.44662957109063317</c:v>
                </c:pt>
                <c:pt idx="70">
                  <c:v>-0.39522582220994806</c:v>
                </c:pt>
                <c:pt idx="71">
                  <c:v>-0.34498221948894137</c:v>
                </c:pt>
                <c:pt idx="72">
                  <c:v>-0.29594834729751485</c:v>
                </c:pt>
                <c:pt idx="73">
                  <c:v>-0.24817259614759046</c:v>
                </c:pt>
                <c:pt idx="74">
                  <c:v>-0.20170211493751689</c:v>
                </c:pt>
                <c:pt idx="75">
                  <c:v>-0.15658276442179919</c:v>
                </c:pt>
                <c:pt idx="76">
                  <c:v>-0.11285907195207123</c:v>
                </c:pt>
                <c:pt idx="77">
                  <c:v>-7.0574187533975152E-2</c:v>
                </c:pt>
                <c:pt idx="78">
                  <c:v>-2.9769841243315831E-2</c:v>
                </c:pt>
                <c:pt idx="79">
                  <c:v>9.5136979564864887E-3</c:v>
                </c:pt>
                <c:pt idx="80">
                  <c:v>4.7237661955000565E-2</c:v>
                </c:pt>
                <c:pt idx="81">
                  <c:v>8.3364821754229324E-2</c:v>
                </c:pt>
                <c:pt idx="82">
                  <c:v>0.11785952420913559</c:v>
                </c:pt>
                <c:pt idx="83">
                  <c:v>0.15068772721299273</c:v>
                </c:pt>
                <c:pt idx="84">
                  <c:v>0.18181703329283239</c:v>
                </c:pt>
                <c:pt idx="85">
                  <c:v>0.21121672158184102</c:v>
                </c:pt>
                <c:pt idx="86">
                  <c:v>0.23885777813714415</c:v>
                </c:pt>
                <c:pt idx="87">
                  <c:v>0.26471292457306728</c:v>
                </c:pt>
                <c:pt idx="88">
                  <c:v>0.28875664498160769</c:v>
                </c:pt>
                <c:pt idx="89">
                  <c:v>0.31096521111355591</c:v>
                </c:pt>
                <c:pt idx="90">
                  <c:v>0.33131670579541184</c:v>
                </c:pt>
                <c:pt idx="91">
                  <c:v>0.3497910445589909</c:v>
                </c:pt>
                <c:pt idx="92">
                  <c:v>0.3663699954623667</c:v>
                </c:pt>
                <c:pt idx="93">
                  <c:v>0.3810371970825992</c:v>
                </c:pt>
                <c:pt idx="94">
                  <c:v>0.39377817466248177</c:v>
                </c:pt>
                <c:pt idx="95">
                  <c:v>0.40458035439537965</c:v>
                </c:pt>
                <c:pt idx="96">
                  <c:v>0.41343307583405964</c:v>
                </c:pt>
                <c:pt idx="97">
                  <c:v>0.42032760241126388</c:v>
                </c:pt>
                <c:pt idx="98">
                  <c:v>0.42525713006164678</c:v>
                </c:pt>
                <c:pt idx="99">
                  <c:v>0.42821679393656664</c:v>
                </c:pt>
                <c:pt idx="100">
                  <c:v>0.42920367320510344</c:v>
                </c:pt>
              </c:numCache>
            </c:numRef>
          </c:xVal>
          <c:yVal>
            <c:numRef>
              <c:f>Calculations!$AQ$5:$AQ$105</c:f>
              <c:numCache>
                <c:formatCode>General</c:formatCode>
                <c:ptCount val="101"/>
                <c:pt idx="0">
                  <c:v>0.99999999999999989</c:v>
                </c:pt>
                <c:pt idx="1">
                  <c:v>0.93717848184374319</c:v>
                </c:pt>
                <c:pt idx="2">
                  <c:v>0.87441896094137295</c:v>
                </c:pt>
                <c:pt idx="3">
                  <c:v>0.81178337336297102</c:v>
                </c:pt>
                <c:pt idx="4">
                  <c:v>0.74933353287139104</c:v>
                </c:pt>
                <c:pt idx="5">
                  <c:v>0.68713106991953765</c:v>
                </c:pt>
                <c:pt idx="6">
                  <c:v>0.62523737082855013</c:v>
                </c:pt>
                <c:pt idx="7">
                  <c:v>0.56371351720691421</c:v>
                </c:pt>
                <c:pt idx="8">
                  <c:v>0.50262022567028963</c:v>
                </c:pt>
                <c:pt idx="9">
                  <c:v>0.44201778792154067</c:v>
                </c:pt>
                <c:pt idx="10">
                  <c:v>0.38196601125010421</c:v>
                </c:pt>
                <c:pt idx="11">
                  <c:v>0.32252415950941626</c:v>
                </c:pt>
                <c:pt idx="12">
                  <c:v>0.26375089463064305</c:v>
                </c:pt>
                <c:pt idx="13">
                  <c:v>0.20570421873043765</c:v>
                </c:pt>
                <c:pt idx="14">
                  <c:v>0.14844141686985346</c:v>
                </c:pt>
                <c:pt idx="15">
                  <c:v>9.201900052090517E-2</c:v>
                </c:pt>
                <c:pt idx="16">
                  <c:v>3.6492651796568132E-2</c:v>
                </c:pt>
                <c:pt idx="17">
                  <c:v>-1.8082831500743968E-2</c:v>
                </c:pt>
                <c:pt idx="18">
                  <c:v>-7.1653589957994646E-2</c:v>
                </c:pt>
                <c:pt idx="19">
                  <c:v>-0.12416675570426272</c:v>
                </c:pt>
                <c:pt idx="20">
                  <c:v>-0.17557050458494783</c:v>
                </c:pt>
                <c:pt idx="21">
                  <c:v>-0.22581410730595453</c:v>
                </c:pt>
                <c:pt idx="22">
                  <c:v>-0.27484797949738105</c:v>
                </c:pt>
                <c:pt idx="23">
                  <c:v>-0.32262373064730543</c:v>
                </c:pt>
                <c:pt idx="24">
                  <c:v>-0.36909421185737901</c:v>
                </c:pt>
                <c:pt idx="25">
                  <c:v>-0.4142135623730967</c:v>
                </c:pt>
                <c:pt idx="26">
                  <c:v>-0.45793725484282466</c:v>
                </c:pt>
                <c:pt idx="27">
                  <c:v>-0.50022213926092074</c:v>
                </c:pt>
                <c:pt idx="28">
                  <c:v>-0.54102648555158006</c:v>
                </c:pt>
                <c:pt idx="29">
                  <c:v>-0.58031002475138238</c:v>
                </c:pt>
                <c:pt idx="30">
                  <c:v>-0.61803398874989646</c:v>
                </c:pt>
                <c:pt idx="31">
                  <c:v>-0.65416114854912522</c:v>
                </c:pt>
                <c:pt idx="32">
                  <c:v>-0.6886558510040317</c:v>
                </c:pt>
                <c:pt idx="33">
                  <c:v>-0.72148405400788884</c:v>
                </c:pt>
                <c:pt idx="34">
                  <c:v>-0.75261336008772872</c:v>
                </c:pt>
                <c:pt idx="35">
                  <c:v>-0.78201304837673713</c:v>
                </c:pt>
                <c:pt idx="36">
                  <c:v>-0.80965410493204026</c:v>
                </c:pt>
                <c:pt idx="37">
                  <c:v>-0.83550925136796339</c:v>
                </c:pt>
                <c:pt idx="38">
                  <c:v>-0.8595529717765038</c:v>
                </c:pt>
                <c:pt idx="39">
                  <c:v>-0.88176153790845202</c:v>
                </c:pt>
                <c:pt idx="40">
                  <c:v>-0.90211303259030795</c:v>
                </c:pt>
                <c:pt idx="41">
                  <c:v>-0.92058737135388702</c:v>
                </c:pt>
                <c:pt idx="42">
                  <c:v>-0.93716632225726304</c:v>
                </c:pt>
                <c:pt idx="43">
                  <c:v>-0.95183352387749531</c:v>
                </c:pt>
                <c:pt idx="44">
                  <c:v>-0.96457450145737789</c:v>
                </c:pt>
                <c:pt idx="45">
                  <c:v>-0.97537668119027598</c:v>
                </c:pt>
                <c:pt idx="46">
                  <c:v>-0.98422940262895597</c:v>
                </c:pt>
                <c:pt idx="47">
                  <c:v>-0.99112392920616021</c:v>
                </c:pt>
                <c:pt idx="48">
                  <c:v>-0.99605345685654334</c:v>
                </c:pt>
                <c:pt idx="49">
                  <c:v>-0.9990131207314632</c:v>
                </c:pt>
                <c:pt idx="50">
                  <c:v>-1</c:v>
                </c:pt>
                <c:pt idx="51">
                  <c:v>-0.99901312073146298</c:v>
                </c:pt>
                <c:pt idx="52">
                  <c:v>-0.9960534568565429</c:v>
                </c:pt>
                <c:pt idx="53">
                  <c:v>-0.99112392920615977</c:v>
                </c:pt>
                <c:pt idx="54">
                  <c:v>-0.98422940262895531</c:v>
                </c:pt>
                <c:pt idx="55">
                  <c:v>-0.9753766811902751</c:v>
                </c:pt>
                <c:pt idx="56">
                  <c:v>-0.96457450145737678</c:v>
                </c:pt>
                <c:pt idx="57">
                  <c:v>-0.9518335238774942</c:v>
                </c:pt>
                <c:pt idx="58">
                  <c:v>-0.93716632225726149</c:v>
                </c:pt>
                <c:pt idx="59">
                  <c:v>-0.92058737135388546</c:v>
                </c:pt>
                <c:pt idx="60">
                  <c:v>-0.9021130325903064</c:v>
                </c:pt>
                <c:pt idx="61">
                  <c:v>-0.88176153790845002</c:v>
                </c:pt>
                <c:pt idx="62">
                  <c:v>-0.85955297177650181</c:v>
                </c:pt>
                <c:pt idx="63">
                  <c:v>-0.83550925136796117</c:v>
                </c:pt>
                <c:pt idx="64">
                  <c:v>-0.80965410493203804</c:v>
                </c:pt>
                <c:pt idx="65">
                  <c:v>-0.78201304837673469</c:v>
                </c:pt>
                <c:pt idx="66">
                  <c:v>-0.75261336008772606</c:v>
                </c:pt>
                <c:pt idx="67">
                  <c:v>-0.72148405400788596</c:v>
                </c:pt>
                <c:pt idx="68">
                  <c:v>-0.68865585100402882</c:v>
                </c:pt>
                <c:pt idx="69">
                  <c:v>-0.65416114854912211</c:v>
                </c:pt>
                <c:pt idx="70">
                  <c:v>-0.61803398874989313</c:v>
                </c:pt>
                <c:pt idx="71">
                  <c:v>-0.58031002475137883</c:v>
                </c:pt>
                <c:pt idx="72">
                  <c:v>-0.54102648555157651</c:v>
                </c:pt>
                <c:pt idx="73">
                  <c:v>-0.50022213926091696</c:v>
                </c:pt>
                <c:pt idx="74">
                  <c:v>-0.45793725484282088</c:v>
                </c:pt>
                <c:pt idx="75">
                  <c:v>-0.4142135623730927</c:v>
                </c:pt>
                <c:pt idx="76">
                  <c:v>-0.36909421185737501</c:v>
                </c:pt>
                <c:pt idx="77">
                  <c:v>-0.32262373064730121</c:v>
                </c:pt>
                <c:pt idx="78">
                  <c:v>-0.2748479794973766</c:v>
                </c:pt>
                <c:pt idx="79">
                  <c:v>-0.22581410730595008</c:v>
                </c:pt>
                <c:pt idx="80">
                  <c:v>-0.17557050458494317</c:v>
                </c:pt>
                <c:pt idx="81">
                  <c:v>-0.12416675570425806</c:v>
                </c:pt>
                <c:pt idx="82">
                  <c:v>-7.1653589957990205E-2</c:v>
                </c:pt>
                <c:pt idx="83">
                  <c:v>-1.8082831500739305E-2</c:v>
                </c:pt>
                <c:pt idx="84">
                  <c:v>3.6492651796572795E-2</c:v>
                </c:pt>
                <c:pt idx="85">
                  <c:v>9.2019000520909944E-2</c:v>
                </c:pt>
                <c:pt idx="86">
                  <c:v>0.14844141686985834</c:v>
                </c:pt>
                <c:pt idx="87">
                  <c:v>0.20570421873044253</c:v>
                </c:pt>
                <c:pt idx="88">
                  <c:v>0.26375089463064794</c:v>
                </c:pt>
                <c:pt idx="89">
                  <c:v>0.32252415950942126</c:v>
                </c:pt>
                <c:pt idx="90">
                  <c:v>0.38196601125010932</c:v>
                </c:pt>
                <c:pt idx="91">
                  <c:v>0.44201778792154578</c:v>
                </c:pt>
                <c:pt idx="92">
                  <c:v>0.50262022567029474</c:v>
                </c:pt>
                <c:pt idx="93">
                  <c:v>0.56371351720691942</c:v>
                </c:pt>
                <c:pt idx="94">
                  <c:v>0.62523737082855535</c:v>
                </c:pt>
                <c:pt idx="95">
                  <c:v>0.68713106991954298</c:v>
                </c:pt>
                <c:pt idx="96">
                  <c:v>0.74933353287139637</c:v>
                </c:pt>
                <c:pt idx="97">
                  <c:v>0.81178337336297623</c:v>
                </c:pt>
                <c:pt idx="98">
                  <c:v>0.87441896094137828</c:v>
                </c:pt>
                <c:pt idx="99">
                  <c:v>0.93717848184374852</c:v>
                </c:pt>
                <c:pt idx="100">
                  <c:v>1.0000000000000051</c:v>
                </c:pt>
              </c:numCache>
            </c:numRef>
          </c:yVal>
          <c:smooth val="0"/>
        </c:ser>
        <c:ser>
          <c:idx val="1"/>
          <c:order val="1"/>
          <c:tx>
            <c:v>CIRCULAR ARC</c:v>
          </c:tx>
          <c:marker>
            <c:symbol val="none"/>
          </c:marker>
          <c:xVal>
            <c:numRef>
              <c:f>Calculations!$AS$5:$AS$105</c:f>
              <c:numCache>
                <c:formatCode>General</c:formatCode>
                <c:ptCount val="101"/>
                <c:pt idx="0">
                  <c:v>-3.1028852130328524</c:v>
                </c:pt>
                <c:pt idx="1">
                  <c:v>-3.0802154872404408</c:v>
                </c:pt>
                <c:pt idx="2">
                  <c:v>-3.0570859777496846</c:v>
                </c:pt>
                <c:pt idx="3">
                  <c:v>-3.0335037300332375</c:v>
                </c:pt>
                <c:pt idx="4">
                  <c:v>-3.0094759274721987</c:v>
                </c:pt>
                <c:pt idx="5">
                  <c:v>-2.9850098891679915</c:v>
                </c:pt>
                <c:pt idx="6">
                  <c:v>-2.9601130677128911</c:v>
                </c:pt>
                <c:pt idx="7">
                  <c:v>-2.9347930469198933</c:v>
                </c:pt>
                <c:pt idx="8">
                  <c:v>-2.9090575395126126</c:v>
                </c:pt>
                <c:pt idx="9">
                  <c:v>-2.8829143847759107</c:v>
                </c:pt>
                <c:pt idx="10">
                  <c:v>-2.8563715461679751</c:v>
                </c:pt>
                <c:pt idx="11">
                  <c:v>-2.8294371088945711</c:v>
                </c:pt>
                <c:pt idx="12">
                  <c:v>-2.8021192774462129</c:v>
                </c:pt>
                <c:pt idx="13">
                  <c:v>-2.7744263730989926</c:v>
                </c:pt>
                <c:pt idx="14">
                  <c:v>-2.7463668313798424</c:v>
                </c:pt>
                <c:pt idx="15">
                  <c:v>-2.7179491994969882</c:v>
                </c:pt>
                <c:pt idx="16">
                  <c:v>-2.6891821337363897</c:v>
                </c:pt>
                <c:pt idx="17">
                  <c:v>-2.6600743968249501</c:v>
                </c:pt>
                <c:pt idx="18">
                  <c:v>-2.6306348552613059</c:v>
                </c:pt>
                <c:pt idx="19">
                  <c:v>-2.6008724766150042</c:v>
                </c:pt>
                <c:pt idx="20">
                  <c:v>-2.5707963267948957</c:v>
                </c:pt>
                <c:pt idx="21">
                  <c:v>-2.5404155672875697</c:v>
                </c:pt>
                <c:pt idx="22">
                  <c:v>-2.5097394523666772</c:v>
                </c:pt>
                <c:pt idx="23">
                  <c:v>-2.4787773262739892</c:v>
                </c:pt>
                <c:pt idx="24">
                  <c:v>-2.4475386203730505</c:v>
                </c:pt>
                <c:pt idx="25">
                  <c:v>-2.4160328502762942</c:v>
                </c:pt>
                <c:pt idx="26">
                  <c:v>-2.384269612946496</c:v>
                </c:pt>
                <c:pt idx="27">
                  <c:v>-2.3522585837734429</c:v>
                </c:pt>
                <c:pt idx="28">
                  <c:v>-2.3200095136267196</c:v>
                </c:pt>
                <c:pt idx="29">
                  <c:v>-2.2875322258854958</c:v>
                </c:pt>
                <c:pt idx="30">
                  <c:v>-2.2548366134462325</c:v>
                </c:pt>
                <c:pt idx="31">
                  <c:v>-2.2219326357092086</c:v>
                </c:pt>
                <c:pt idx="32">
                  <c:v>-2.1888303155447897</c:v>
                </c:pt>
                <c:pt idx="33">
                  <c:v>-2.1555397362403683</c:v>
                </c:pt>
                <c:pt idx="34">
                  <c:v>-2.1220710384288934</c:v>
                </c:pt>
                <c:pt idx="35">
                  <c:v>-2.0884344169999363</c:v>
                </c:pt>
                <c:pt idx="36">
                  <c:v>-2.0546401179942304</c:v>
                </c:pt>
                <c:pt idx="37">
                  <c:v>-2.020698435482625</c:v>
                </c:pt>
                <c:pt idx="38">
                  <c:v>-1.9866197084304136</c:v>
                </c:pt>
                <c:pt idx="39">
                  <c:v>-1.9524143175479844</c:v>
                </c:pt>
                <c:pt idx="40">
                  <c:v>-1.9180926821287556</c:v>
                </c:pt>
                <c:pt idx="41">
                  <c:v>-1.8836652568753567</c:v>
                </c:pt>
                <c:pt idx="42">
                  <c:v>-1.8491425287150258</c:v>
                </c:pt>
                <c:pt idx="43">
                  <c:v>-1.8145350136051899</c:v>
                </c:pt>
                <c:pt idx="44">
                  <c:v>-1.7798532533302018</c:v>
                </c:pt>
                <c:pt idx="45">
                  <c:v>-1.7451078122902113</c:v>
                </c:pt>
                <c:pt idx="46">
                  <c:v>-1.7103092742831456</c:v>
                </c:pt>
                <c:pt idx="47">
                  <c:v>-1.6754682392807827</c:v>
                </c:pt>
                <c:pt idx="48">
                  <c:v>-1.6405953201998968</c:v>
                </c:pt>
                <c:pt idx="49">
                  <c:v>-1.605701139669462</c:v>
                </c:pt>
                <c:pt idx="50">
                  <c:v>-1.570796326794895</c:v>
                </c:pt>
                <c:pt idx="51">
                  <c:v>-1.535891513920328</c:v>
                </c:pt>
                <c:pt idx="52">
                  <c:v>-1.5009973333898929</c:v>
                </c:pt>
                <c:pt idx="53">
                  <c:v>-1.4661244143090073</c:v>
                </c:pt>
                <c:pt idx="54">
                  <c:v>-1.4312833793066444</c:v>
                </c:pt>
                <c:pt idx="55">
                  <c:v>-1.3964848412995785</c:v>
                </c:pt>
                <c:pt idx="56">
                  <c:v>-1.361739400259588</c:v>
                </c:pt>
                <c:pt idx="57">
                  <c:v>-1.3270576399845999</c:v>
                </c:pt>
                <c:pt idx="58">
                  <c:v>-1.292450124874764</c:v>
                </c:pt>
                <c:pt idx="59">
                  <c:v>-1.2579273967144333</c:v>
                </c:pt>
                <c:pt idx="60">
                  <c:v>-1.2234999714610342</c:v>
                </c:pt>
                <c:pt idx="61">
                  <c:v>-1.1891783360418053</c:v>
                </c:pt>
                <c:pt idx="62">
                  <c:v>-1.1549729451593764</c:v>
                </c:pt>
                <c:pt idx="63">
                  <c:v>-1.1208942181071651</c:v>
                </c:pt>
                <c:pt idx="64">
                  <c:v>-1.0869525355955596</c:v>
                </c:pt>
                <c:pt idx="65">
                  <c:v>-1.0531582365898535</c:v>
                </c:pt>
                <c:pt idx="66">
                  <c:v>-1.0195216151608966</c:v>
                </c:pt>
                <c:pt idx="67">
                  <c:v>-0.98605291734942146</c:v>
                </c:pt>
                <c:pt idx="68">
                  <c:v>-0.95276233804499999</c:v>
                </c:pt>
                <c:pt idx="69">
                  <c:v>-0.91966001788058149</c:v>
                </c:pt>
                <c:pt idx="70">
                  <c:v>-0.88675604014355736</c:v>
                </c:pt>
                <c:pt idx="71">
                  <c:v>-0.85406042770429424</c:v>
                </c:pt>
                <c:pt idx="72">
                  <c:v>-0.82158313996307064</c:v>
                </c:pt>
                <c:pt idx="73">
                  <c:v>-0.78933406981634724</c:v>
                </c:pt>
                <c:pt idx="74">
                  <c:v>-0.75732304064329425</c:v>
                </c:pt>
                <c:pt idx="75">
                  <c:v>-0.72555980331349579</c:v>
                </c:pt>
                <c:pt idx="76">
                  <c:v>-0.69405403321673975</c:v>
                </c:pt>
                <c:pt idx="77">
                  <c:v>-0.66281532731580106</c:v>
                </c:pt>
                <c:pt idx="78">
                  <c:v>-0.63185320122311306</c:v>
                </c:pt>
                <c:pt idx="79">
                  <c:v>-0.60117708630222055</c:v>
                </c:pt>
                <c:pt idx="80">
                  <c:v>-0.57079632679489456</c:v>
                </c:pt>
                <c:pt idx="81">
                  <c:v>-0.54072017697478603</c:v>
                </c:pt>
                <c:pt idx="82">
                  <c:v>-0.51095779832848454</c:v>
                </c:pt>
                <c:pt idx="83">
                  <c:v>-0.48151825676484039</c:v>
                </c:pt>
                <c:pt idx="84">
                  <c:v>-0.45241051985340075</c:v>
                </c:pt>
                <c:pt idx="85">
                  <c:v>-0.42364345409280224</c:v>
                </c:pt>
                <c:pt idx="86">
                  <c:v>-0.39522582220994829</c:v>
                </c:pt>
                <c:pt idx="87">
                  <c:v>-0.3671662804907978</c:v>
                </c:pt>
                <c:pt idx="88">
                  <c:v>-0.33947337614357775</c:v>
                </c:pt>
                <c:pt idx="89">
                  <c:v>-0.31215554469521956</c:v>
                </c:pt>
                <c:pt idx="90">
                  <c:v>-0.28522110742181583</c:v>
                </c:pt>
                <c:pt idx="91">
                  <c:v>-0.25867826881387979</c:v>
                </c:pt>
                <c:pt idx="92">
                  <c:v>-0.23253511407717786</c:v>
                </c:pt>
                <c:pt idx="93">
                  <c:v>-0.20679960666989738</c:v>
                </c:pt>
                <c:pt idx="94">
                  <c:v>-0.18147958587689983</c:v>
                </c:pt>
                <c:pt idx="95">
                  <c:v>-0.15658276442179941</c:v>
                </c:pt>
                <c:pt idx="96">
                  <c:v>-0.13211672611759218</c:v>
                </c:pt>
                <c:pt idx="97">
                  <c:v>-0.10808892355655342</c:v>
                </c:pt>
                <c:pt idx="98">
                  <c:v>-8.4506675840105849E-2</c:v>
                </c:pt>
                <c:pt idx="99">
                  <c:v>-6.1377166349350532E-2</c:v>
                </c:pt>
                <c:pt idx="100">
                  <c:v>-3.8707440556938311E-2</c:v>
                </c:pt>
              </c:numCache>
            </c:numRef>
          </c:xVal>
          <c:yVal>
            <c:numRef>
              <c:f>Calculations!$AT$5:$AT$105</c:f>
              <c:numCache>
                <c:formatCode>General</c:formatCode>
                <c:ptCount val="101"/>
                <c:pt idx="0">
                  <c:v>-0.28557521937307873</c:v>
                </c:pt>
                <c:pt idx="1">
                  <c:v>-0.31211805798101455</c:v>
                </c:pt>
                <c:pt idx="2">
                  <c:v>-0.33826121271771648</c:v>
                </c:pt>
                <c:pt idx="3">
                  <c:v>-0.36399672012499718</c:v>
                </c:pt>
                <c:pt idx="4">
                  <c:v>-0.38931674091799473</c:v>
                </c:pt>
                <c:pt idx="5">
                  <c:v>-0.41421356237309515</c:v>
                </c:pt>
                <c:pt idx="6">
                  <c:v>-0.43867960067730261</c:v>
                </c:pt>
                <c:pt idx="7">
                  <c:v>-0.46270740323834114</c:v>
                </c:pt>
                <c:pt idx="8">
                  <c:v>-0.48628965095478871</c:v>
                </c:pt>
                <c:pt idx="9">
                  <c:v>-0.50941916044554425</c:v>
                </c:pt>
                <c:pt idx="10">
                  <c:v>-0.53208888623795647</c:v>
                </c:pt>
                <c:pt idx="11">
                  <c:v>-0.55429192291394203</c:v>
                </c:pt>
                <c:pt idx="12">
                  <c:v>-0.57602150721344425</c:v>
                </c:pt>
                <c:pt idx="13">
                  <c:v>-0.5972710200945861</c:v>
                </c:pt>
                <c:pt idx="14">
                  <c:v>-0.61803398874989535</c:v>
                </c:pt>
                <c:pt idx="15">
                  <c:v>-0.63830408857798404</c:v>
                </c:pt>
                <c:pt idx="16">
                  <c:v>-0.65807514511008391</c:v>
                </c:pt>
                <c:pt idx="17">
                  <c:v>-0.67734113589084854</c:v>
                </c:pt>
                <c:pt idx="18">
                  <c:v>-0.69609619231285236</c:v>
                </c:pt>
                <c:pt idx="19">
                  <c:v>-0.71433460140422511</c:v>
                </c:pt>
                <c:pt idx="20">
                  <c:v>-0.73205080756887786</c:v>
                </c:pt>
                <c:pt idx="21">
                  <c:v>-0.74923941427879215</c:v>
                </c:pt>
                <c:pt idx="22">
                  <c:v>-0.76589518571785442</c:v>
                </c:pt>
                <c:pt idx="23">
                  <c:v>-0.78201304837673624</c:v>
                </c:pt>
                <c:pt idx="24">
                  <c:v>-0.79758809259833452</c:v>
                </c:pt>
                <c:pt idx="25">
                  <c:v>-0.81261557407330054</c:v>
                </c:pt>
                <c:pt idx="26">
                  <c:v>-0.8270909152852024</c:v>
                </c:pt>
                <c:pt idx="27">
                  <c:v>-0.84100970690488119</c:v>
                </c:pt>
                <c:pt idx="28">
                  <c:v>-0.85436770913357529</c:v>
                </c:pt>
                <c:pt idx="29">
                  <c:v>-0.86716085299440393</c:v>
                </c:pt>
                <c:pt idx="30">
                  <c:v>-0.8793852415718173</c:v>
                </c:pt>
                <c:pt idx="31">
                  <c:v>-0.89103715119863414</c:v>
                </c:pt>
                <c:pt idx="32">
                  <c:v>-0.90211303259030773</c:v>
                </c:pt>
                <c:pt idx="33">
                  <c:v>-0.91260951192607154</c:v>
                </c:pt>
                <c:pt idx="34">
                  <c:v>-0.92252339187663823</c:v>
                </c:pt>
                <c:pt idx="35">
                  <c:v>-0.93185165257813707</c:v>
                </c:pt>
                <c:pt idx="36">
                  <c:v>-0.94059145255199339</c:v>
                </c:pt>
                <c:pt idx="37">
                  <c:v>-0.94874012957047094</c:v>
                </c:pt>
                <c:pt idx="38">
                  <c:v>-0.9562952014676116</c:v>
                </c:pt>
                <c:pt idx="39">
                  <c:v>-0.96325436689532817</c:v>
                </c:pt>
                <c:pt idx="40">
                  <c:v>-0.96961550602441648</c:v>
                </c:pt>
                <c:pt idx="41">
                  <c:v>-0.97537668119027576</c:v>
                </c:pt>
                <c:pt idx="42">
                  <c:v>-0.98053613748314095</c:v>
                </c:pt>
                <c:pt idx="43">
                  <c:v>-0.98509230328264419</c:v>
                </c:pt>
                <c:pt idx="44">
                  <c:v>-0.9890437907365468</c:v>
                </c:pt>
                <c:pt idx="45">
                  <c:v>-0.99238939618349131</c:v>
                </c:pt>
                <c:pt idx="46">
                  <c:v>-0.99512810051964862</c:v>
                </c:pt>
                <c:pt idx="47">
                  <c:v>-0.99725906950914789</c:v>
                </c:pt>
                <c:pt idx="48">
                  <c:v>-0.99878165403819152</c:v>
                </c:pt>
                <c:pt idx="49">
                  <c:v>-0.99969539031278254</c:v>
                </c:pt>
                <c:pt idx="50">
                  <c:v>-1</c:v>
                </c:pt>
                <c:pt idx="51">
                  <c:v>-0.99969539031278254</c:v>
                </c:pt>
                <c:pt idx="52">
                  <c:v>-0.9987816540381913</c:v>
                </c:pt>
                <c:pt idx="53">
                  <c:v>-0.99725906950914767</c:v>
                </c:pt>
                <c:pt idx="54">
                  <c:v>-0.9951281005196484</c:v>
                </c:pt>
                <c:pt idx="55">
                  <c:v>-0.99238939618349087</c:v>
                </c:pt>
                <c:pt idx="56">
                  <c:v>-0.98904379073654658</c:v>
                </c:pt>
                <c:pt idx="57">
                  <c:v>-0.98509230328264397</c:v>
                </c:pt>
                <c:pt idx="58">
                  <c:v>-0.9805361374831405</c:v>
                </c:pt>
                <c:pt idx="59">
                  <c:v>-0.9753766811902751</c:v>
                </c:pt>
                <c:pt idx="60">
                  <c:v>-0.96961550602441582</c:v>
                </c:pt>
                <c:pt idx="61">
                  <c:v>-0.96325436689532751</c:v>
                </c:pt>
                <c:pt idx="62">
                  <c:v>-0.95629520146761093</c:v>
                </c:pt>
                <c:pt idx="63">
                  <c:v>-0.94874012957047005</c:v>
                </c:pt>
                <c:pt idx="64">
                  <c:v>-0.9405914525519925</c:v>
                </c:pt>
                <c:pt idx="65">
                  <c:v>-0.93185165257813618</c:v>
                </c:pt>
                <c:pt idx="66">
                  <c:v>-0.92252339187663734</c:v>
                </c:pt>
                <c:pt idx="67">
                  <c:v>-0.91260951192607043</c:v>
                </c:pt>
                <c:pt idx="68">
                  <c:v>-0.90211303259030662</c:v>
                </c:pt>
                <c:pt idx="69">
                  <c:v>-0.89103715119863303</c:v>
                </c:pt>
                <c:pt idx="70">
                  <c:v>-0.87938524157181619</c:v>
                </c:pt>
                <c:pt idx="71">
                  <c:v>-0.86716085299440282</c:v>
                </c:pt>
                <c:pt idx="72">
                  <c:v>-0.85436770913357418</c:v>
                </c:pt>
                <c:pt idx="73">
                  <c:v>-0.84100970690487986</c:v>
                </c:pt>
                <c:pt idx="74">
                  <c:v>-0.82709091528520107</c:v>
                </c:pt>
                <c:pt idx="75">
                  <c:v>-0.81261557407329899</c:v>
                </c:pt>
                <c:pt idx="76">
                  <c:v>-0.79758809259833297</c:v>
                </c:pt>
                <c:pt idx="77">
                  <c:v>-0.78201304837673469</c:v>
                </c:pt>
                <c:pt idx="78">
                  <c:v>-0.76589518571785287</c:v>
                </c:pt>
                <c:pt idx="79">
                  <c:v>-0.74923941427879059</c:v>
                </c:pt>
                <c:pt idx="80">
                  <c:v>-0.73205080756887608</c:v>
                </c:pt>
                <c:pt idx="81">
                  <c:v>-0.71433460140422333</c:v>
                </c:pt>
                <c:pt idx="82">
                  <c:v>-0.69609619231285058</c:v>
                </c:pt>
                <c:pt idx="83">
                  <c:v>-0.67734113589084677</c:v>
                </c:pt>
                <c:pt idx="84">
                  <c:v>-0.65807514511008192</c:v>
                </c:pt>
                <c:pt idx="85">
                  <c:v>-0.63830408857798204</c:v>
                </c:pt>
                <c:pt idx="86">
                  <c:v>-0.61803398874989335</c:v>
                </c:pt>
                <c:pt idx="87">
                  <c:v>-0.5972710200945841</c:v>
                </c:pt>
                <c:pt idx="88">
                  <c:v>-0.57602150721344225</c:v>
                </c:pt>
                <c:pt idx="89">
                  <c:v>-0.55429192291394003</c:v>
                </c:pt>
                <c:pt idx="90">
                  <c:v>-0.53208888623795425</c:v>
                </c:pt>
                <c:pt idx="91">
                  <c:v>-0.50941916044554203</c:v>
                </c:pt>
                <c:pt idx="92">
                  <c:v>-0.48628965095478649</c:v>
                </c:pt>
                <c:pt idx="93">
                  <c:v>-0.46270740323833892</c:v>
                </c:pt>
                <c:pt idx="94">
                  <c:v>-0.43867960067730016</c:v>
                </c:pt>
                <c:pt idx="95">
                  <c:v>-0.41421356237309293</c:v>
                </c:pt>
                <c:pt idx="96">
                  <c:v>-0.38931674091799229</c:v>
                </c:pt>
                <c:pt idx="97">
                  <c:v>-0.36399672012499473</c:v>
                </c:pt>
                <c:pt idx="98">
                  <c:v>-0.33826121271771403</c:v>
                </c:pt>
                <c:pt idx="99">
                  <c:v>-0.31211805798101211</c:v>
                </c:pt>
                <c:pt idx="100">
                  <c:v>-0.28557521937307606</c:v>
                </c:pt>
              </c:numCache>
            </c:numRef>
          </c:yVal>
          <c:smooth val="0"/>
        </c:ser>
        <c:ser>
          <c:idx val="2"/>
          <c:order val="2"/>
          <c:tx>
            <c:v>xyt</c:v>
          </c:tx>
          <c:marker>
            <c:symbol val="none"/>
          </c:marker>
          <c:xVal>
            <c:numRef>
              <c:f>Calculations!$L$6:$L$7</c:f>
              <c:numCache>
                <c:formatCode>General</c:formatCode>
                <c:ptCount val="2"/>
                <c:pt idx="0">
                  <c:v>-3.0923949657246421</c:v>
                </c:pt>
                <c:pt idx="1">
                  <c:v>-1.5707963267948966</c:v>
                </c:pt>
              </c:numCache>
            </c:numRef>
          </c:xVal>
          <c:yVal>
            <c:numRef>
              <c:f>Calculations!$M$6:$M$7</c:f>
              <c:numCache>
                <c:formatCode>General</c:formatCode>
                <c:ptCount val="2"/>
                <c:pt idx="0">
                  <c:v>-0.29797441500483601</c:v>
                </c:pt>
                <c:pt idx="1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TASH</c:v>
          </c:tx>
          <c:marker>
            <c:symbol val="none"/>
          </c:marker>
          <c:xVal>
            <c:numRef>
              <c:f>Calculations!$S$64:$S$68</c:f>
              <c:numCache>
                <c:formatCode>0.00000</c:formatCode>
                <c:ptCount val="5"/>
                <c:pt idx="0" formatCode="General">
                  <c:v>-3.0923949657246421</c:v>
                </c:pt>
                <c:pt idx="1">
                  <c:v>-2.4344572388632546</c:v>
                </c:pt>
                <c:pt idx="2" formatCode="0.00">
                  <c:v>-2.5283131533745591</c:v>
                </c:pt>
                <c:pt idx="3" formatCode="0.00">
                  <c:v>-2.4721888697242274</c:v>
                </c:pt>
                <c:pt idx="4" formatCode="General">
                  <c:v>-2.4344572388632546</c:v>
                </c:pt>
              </c:numCache>
            </c:numRef>
          </c:xVal>
          <c:yVal>
            <c:numRef>
              <c:f>Calculations!$T$64:$T$68</c:f>
              <c:numCache>
                <c:formatCode>0.00000</c:formatCode>
                <c:ptCount val="5"/>
                <c:pt idx="0" formatCode="General">
                  <c:v>-0.29797441500483601</c:v>
                </c:pt>
                <c:pt idx="1">
                  <c:v>0.26326842149848384</c:v>
                </c:pt>
                <c:pt idx="2" formatCode="0.00">
                  <c:v>0.24004102419122131</c:v>
                </c:pt>
                <c:pt idx="3" formatCode="0.00">
                  <c:v>0.17424725150508252</c:v>
                </c:pt>
                <c:pt idx="4" formatCode="General">
                  <c:v>0.26326842149848384</c:v>
                </c:pt>
              </c:numCache>
            </c:numRef>
          </c:yVal>
          <c:smooth val="0"/>
        </c:ser>
        <c:ser>
          <c:idx val="4"/>
          <c:order val="4"/>
          <c:tx>
            <c:v>weight</c:v>
          </c:tx>
          <c:marker>
            <c:symbol val="none"/>
          </c:marker>
          <c:xVal>
            <c:numRef>
              <c:f>Calculations!$S$72:$S$76</c:f>
              <c:numCache>
                <c:formatCode>0.00000</c:formatCode>
                <c:ptCount val="5"/>
                <c:pt idx="0">
                  <c:v>-3.0923949657246421</c:v>
                </c:pt>
                <c:pt idx="1">
                  <c:v>-3.0923949657246421</c:v>
                </c:pt>
                <c:pt idx="2" formatCode="0.00">
                  <c:v>-3.0270172990579756</c:v>
                </c:pt>
                <c:pt idx="3" formatCode="0.00">
                  <c:v>-3.1577726323913087</c:v>
                </c:pt>
                <c:pt idx="4" formatCode="General">
                  <c:v>-3.0923949657246421</c:v>
                </c:pt>
              </c:numCache>
            </c:numRef>
          </c:xVal>
          <c:yVal>
            <c:numRef>
              <c:f>Calculations!$T$72:$T$76</c:f>
              <c:numCache>
                <c:formatCode>0.00000</c:formatCode>
                <c:ptCount val="5"/>
                <c:pt idx="0">
                  <c:v>-0.29797441500483601</c:v>
                </c:pt>
                <c:pt idx="1">
                  <c:v>-1.6055277483381694</c:v>
                </c:pt>
                <c:pt idx="2" formatCode="0.00">
                  <c:v>-1.474772415004836</c:v>
                </c:pt>
                <c:pt idx="3" formatCode="0.00">
                  <c:v>-1.474772415004836</c:v>
                </c:pt>
                <c:pt idx="4" formatCode="General">
                  <c:v>-1.6055277483381694</c:v>
                </c:pt>
              </c:numCache>
            </c:numRef>
          </c:yVal>
          <c:smooth val="0"/>
        </c:ser>
        <c:ser>
          <c:idx val="5"/>
          <c:order val="5"/>
          <c:tx>
            <c:v>force total</c:v>
          </c:tx>
          <c:marker>
            <c:symbol val="none"/>
          </c:marker>
          <c:xVal>
            <c:numRef>
              <c:f>Calculations!$U$72:$U$76</c:f>
              <c:numCache>
                <c:formatCode>0.00000</c:formatCode>
                <c:ptCount val="5"/>
                <c:pt idx="0">
                  <c:v>-3.0923949657246421</c:v>
                </c:pt>
                <c:pt idx="1">
                  <c:v>-2.4344572388632546</c:v>
                </c:pt>
                <c:pt idx="2" formatCode="0.00">
                  <c:v>-2.4629354867078925</c:v>
                </c:pt>
                <c:pt idx="3" formatCode="0.00">
                  <c:v>-2.5375665363908939</c:v>
                </c:pt>
                <c:pt idx="4" formatCode="General">
                  <c:v>-2.4344572388632546</c:v>
                </c:pt>
              </c:numCache>
            </c:numRef>
          </c:xVal>
          <c:yVal>
            <c:numRef>
              <c:f>Calculations!$V$72:$V$76</c:f>
              <c:numCache>
                <c:formatCode>0.00000</c:formatCode>
                <c:ptCount val="5"/>
                <c:pt idx="0">
                  <c:v>-0.29797441500483601</c:v>
                </c:pt>
                <c:pt idx="1">
                  <c:v>-1.0442849118348494</c:v>
                </c:pt>
                <c:pt idx="2" formatCode="0.00">
                  <c:v>-0.9367569758087787</c:v>
                </c:pt>
                <c:pt idx="3" formatCode="0.00">
                  <c:v>-1.0025507484949174</c:v>
                </c:pt>
                <c:pt idx="4" formatCode="General">
                  <c:v>-1.0442849118348494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41088"/>
        <c:axId val="202843648"/>
      </c:scatterChart>
      <c:valAx>
        <c:axId val="202841088"/>
        <c:scaling>
          <c:orientation val="minMax"/>
          <c:max val="2"/>
          <c:min val="-4"/>
        </c:scaling>
        <c:delete val="0"/>
        <c:axPos val="b"/>
        <c:numFmt formatCode="General" sourceLinked="1"/>
        <c:majorTickMark val="out"/>
        <c:minorTickMark val="none"/>
        <c:tickLblPos val="nextTo"/>
        <c:crossAx val="202843648"/>
        <c:crosses val="autoZero"/>
        <c:crossBetween val="midCat"/>
      </c:valAx>
      <c:valAx>
        <c:axId val="202843648"/>
        <c:scaling>
          <c:orientation val="minMax"/>
          <c:max val="2"/>
          <c:min val="-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841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T/T0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 over t0</c:v>
          </c:tx>
          <c:marker>
            <c:symbol val="none"/>
          </c:marker>
          <c:xVal>
            <c:numRef>
              <c:f>'landen trasform'!$AA$14:$AA$23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'landen trasform'!$BF$14:$BF$23</c:f>
              <c:numCache>
                <c:formatCode>General</c:formatCode>
                <c:ptCount val="10"/>
                <c:pt idx="0">
                  <c:v>1</c:v>
                </c:pt>
                <c:pt idx="1">
                  <c:v>1.0019071881432167</c:v>
                </c:pt>
                <c:pt idx="2">
                  <c:v>1.007669025791545</c:v>
                </c:pt>
                <c:pt idx="3">
                  <c:v>1.017408797595956</c:v>
                </c:pt>
                <c:pt idx="4">
                  <c:v>1.0313405191300371</c:v>
                </c:pt>
                <c:pt idx="5">
                  <c:v>1.0497829606230324</c:v>
                </c:pt>
                <c:pt idx="6">
                  <c:v>1.0731820071493645</c:v>
                </c:pt>
                <c:pt idx="7">
                  <c:v>1.1021449096392697</c:v>
                </c:pt>
                <c:pt idx="8">
                  <c:v>1.1374925599239223</c:v>
                </c:pt>
                <c:pt idx="9">
                  <c:v>1.1803405990160962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566720"/>
        <c:axId val="209576704"/>
      </c:scatterChart>
      <c:valAx>
        <c:axId val="2095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9576704"/>
        <c:crosses val="autoZero"/>
        <c:crossBetween val="midCat"/>
      </c:valAx>
      <c:valAx>
        <c:axId val="209576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5667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$P$5" horiz="1" max="150" page="10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2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276225</xdr:colOff>
      <xdr:row>29</xdr:row>
      <xdr:rowOff>95250</xdr:rowOff>
    </xdr:from>
    <xdr:to>
      <xdr:col>16</xdr:col>
      <xdr:colOff>457200</xdr:colOff>
      <xdr:row>34</xdr:row>
      <xdr:rowOff>0</xdr:rowOff>
    </xdr:to>
    <xdr:pic>
      <xdr:nvPicPr>
        <xdr:cNvPr id="4" name="Εικόνα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5667375"/>
          <a:ext cx="33813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457200</xdr:colOff>
      <xdr:row>7</xdr:row>
      <xdr:rowOff>104775</xdr:rowOff>
    </xdr:from>
    <xdr:to>
      <xdr:col>17</xdr:col>
      <xdr:colOff>219075</xdr:colOff>
      <xdr:row>10</xdr:row>
      <xdr:rowOff>28575</xdr:rowOff>
    </xdr:to>
    <xdr:pic>
      <xdr:nvPicPr>
        <xdr:cNvPr id="5" name="Εικόνα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485900"/>
          <a:ext cx="28860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28575</xdr:rowOff>
    </xdr:from>
    <xdr:to>
      <xdr:col>17</xdr:col>
      <xdr:colOff>409575</xdr:colOff>
      <xdr:row>11</xdr:row>
      <xdr:rowOff>133350</xdr:rowOff>
    </xdr:to>
    <xdr:pic>
      <xdr:nvPicPr>
        <xdr:cNvPr id="6" name="Εικόνα 5" descr="T = 4\sqrt{\ell\over 2g}\int^{\theta_0}_0 {1\over\sqrt{\cos\theta-\cos\theta_0}}\,d\theta.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362075"/>
          <a:ext cx="2724150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16</xdr:col>
      <xdr:colOff>600075</xdr:colOff>
      <xdr:row>15</xdr:row>
      <xdr:rowOff>114300</xdr:rowOff>
    </xdr:to>
    <xdr:pic>
      <xdr:nvPicPr>
        <xdr:cNvPr id="7" name="Εικόνα 6" descr="T = 4\sqrt{\ell\over g}F\left( {\theta_0\over 2}, \csc{\theta_0\over2}\right)\csc {\theta_0\over 2}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95500"/>
          <a:ext cx="242887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21</xdr:col>
      <xdr:colOff>161925</xdr:colOff>
      <xdr:row>13</xdr:row>
      <xdr:rowOff>114300</xdr:rowOff>
    </xdr:to>
    <xdr:pic>
      <xdr:nvPicPr>
        <xdr:cNvPr id="8" name="Εικόνα 7" descr="T = 4\sqrt{\ell\over g}\,K\left( \sin{\theta_0\over 2} \right)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714500"/>
          <a:ext cx="167640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8</xdr:row>
      <xdr:rowOff>85725</xdr:rowOff>
    </xdr:from>
    <xdr:to>
      <xdr:col>11</xdr:col>
      <xdr:colOff>628650</xdr:colOff>
      <xdr:row>41</xdr:row>
      <xdr:rowOff>133348</xdr:rowOff>
    </xdr:to>
    <xdr:graphicFrame macro="">
      <xdr:nvGraphicFramePr>
        <xdr:cNvPr id="2" name="Γράφημα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200025</xdr:colOff>
      <xdr:row>41</xdr:row>
      <xdr:rowOff>76200</xdr:rowOff>
    </xdr:from>
    <xdr:to>
      <xdr:col>10</xdr:col>
      <xdr:colOff>381000</xdr:colOff>
      <xdr:row>45</xdr:row>
      <xdr:rowOff>171450</xdr:rowOff>
    </xdr:to>
    <xdr:pic>
      <xdr:nvPicPr>
        <xdr:cNvPr id="9" name="Εικόνα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7934325"/>
          <a:ext cx="33813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2</xdr:row>
          <xdr:rowOff>57150</xdr:rowOff>
        </xdr:from>
        <xdr:to>
          <xdr:col>18</xdr:col>
          <xdr:colOff>552450</xdr:colOff>
          <xdr:row>3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11</xdr:col>
      <xdr:colOff>676275</xdr:colOff>
      <xdr:row>7</xdr:row>
      <xdr:rowOff>123825</xdr:rowOff>
    </xdr:from>
    <xdr:to>
      <xdr:col>21</xdr:col>
      <xdr:colOff>152400</xdr:colOff>
      <xdr:row>35</xdr:row>
      <xdr:rowOff>142875</xdr:rowOff>
    </xdr:to>
    <xdr:graphicFrame macro="">
      <xdr:nvGraphicFramePr>
        <xdr:cNvPr id="3" name="Γράφημα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78550</xdr:colOff>
      <xdr:row>15</xdr:row>
      <xdr:rowOff>83344</xdr:rowOff>
    </xdr:to>
    <xdr:pic>
      <xdr:nvPicPr>
        <xdr:cNvPr id="6" name="Εικόνα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9081" cy="2940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555625</xdr:colOff>
      <xdr:row>1</xdr:row>
      <xdr:rowOff>47625</xdr:rowOff>
    </xdr:from>
    <xdr:to>
      <xdr:col>22</xdr:col>
      <xdr:colOff>497681</xdr:colOff>
      <xdr:row>15</xdr:row>
      <xdr:rowOff>19050</xdr:rowOff>
    </xdr:to>
    <xdr:pic>
      <xdr:nvPicPr>
        <xdr:cNvPr id="7" name="Εικόνα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238125"/>
          <a:ext cx="6892925" cy="263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440531</xdr:colOff>
      <xdr:row>16</xdr:row>
      <xdr:rowOff>27384</xdr:rowOff>
    </xdr:from>
    <xdr:to>
      <xdr:col>43</xdr:col>
      <xdr:colOff>154781</xdr:colOff>
      <xdr:row>30</xdr:row>
      <xdr:rowOff>103584</xdr:rowOff>
    </xdr:to>
    <xdr:graphicFrame macro="">
      <xdr:nvGraphicFramePr>
        <xdr:cNvPr id="8" name="Γράφημα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447675</xdr:colOff>
      <xdr:row>20</xdr:row>
      <xdr:rowOff>142875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53275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/>
  <dimension ref="A1:BS237"/>
  <sheetViews>
    <sheetView tabSelected="1" workbookViewId="0">
      <selection activeCell="J8" sqref="J8"/>
    </sheetView>
  </sheetViews>
  <sheetFormatPr defaultRowHeight="15"/>
  <cols>
    <col min="1" max="1" width="10.5703125" customWidth="1"/>
    <col min="2" max="2" width="10.28515625" bestFit="1" customWidth="1"/>
    <col min="6" max="6" width="10.28515625" bestFit="1" customWidth="1"/>
    <col min="9" max="9" width="10.28515625" bestFit="1" customWidth="1"/>
    <col min="12" max="13" width="10.28515625" bestFit="1" customWidth="1"/>
    <col min="19" max="19" width="10.28515625" bestFit="1" customWidth="1"/>
    <col min="20" max="20" width="10.42578125" bestFit="1" customWidth="1"/>
    <col min="21" max="21" width="12.28515625" customWidth="1"/>
    <col min="28" max="28" width="10.28515625" bestFit="1" customWidth="1"/>
    <col min="35" max="35" width="10.28515625" bestFit="1" customWidth="1"/>
    <col min="37" max="37" width="10.28515625" bestFit="1" customWidth="1"/>
    <col min="44" max="44" width="10.28515625" bestFit="1" customWidth="1"/>
    <col min="46" max="46" width="10.28515625" bestFit="1" customWidth="1"/>
  </cols>
  <sheetData>
    <row r="1" spans="1:71">
      <c r="A1" t="s">
        <v>0</v>
      </c>
      <c r="F1" t="s">
        <v>7</v>
      </c>
      <c r="J1" t="s">
        <v>99</v>
      </c>
      <c r="K1">
        <f>161</f>
        <v>161</v>
      </c>
      <c r="N1" t="s">
        <v>177</v>
      </c>
      <c r="O1">
        <f>Platoskinishs*COS(2*PI()*R5/Tperiod)</f>
        <v>1.532088886237956</v>
      </c>
      <c r="P1">
        <f>2*ACOS(O1/(4*Aktina))</f>
        <v>1.3962634015954638</v>
      </c>
      <c r="Q1" t="s">
        <v>64</v>
      </c>
      <c r="R1" t="s">
        <v>128</v>
      </c>
      <c r="S1">
        <f>4*Aktina*COS(arxikiGon)</f>
        <v>1.532088886237956</v>
      </c>
      <c r="U1" t="s">
        <v>107</v>
      </c>
      <c r="V1" t="s">
        <v>108</v>
      </c>
      <c r="AC1">
        <f>COS(Z3)</f>
        <v>-1</v>
      </c>
      <c r="AH1" t="s">
        <v>102</v>
      </c>
      <c r="AM1" t="s">
        <v>127</v>
      </c>
    </row>
    <row r="2" spans="1:71" ht="18.75">
      <c r="A2" t="s">
        <v>28</v>
      </c>
      <c r="B2">
        <v>0.2</v>
      </c>
      <c r="C2" t="s">
        <v>29</v>
      </c>
      <c r="J2" t="s">
        <v>100</v>
      </c>
      <c r="K2">
        <f>-megistox+Aktina</f>
        <v>-160.5</v>
      </c>
      <c r="L2" t="s">
        <v>140</v>
      </c>
      <c r="M2">
        <f>-SIN(P1)/(1-COS(P1))</f>
        <v>-1.1917535925942098</v>
      </c>
      <c r="N2" s="19">
        <f>Aktina*(P1-SIN(P1))-2*PI()*Aktina</f>
        <v>-2.9358648292981653</v>
      </c>
      <c r="O2">
        <v>0</v>
      </c>
      <c r="P2" s="27"/>
      <c r="Q2" s="28" t="s">
        <v>198</v>
      </c>
      <c r="R2" s="27"/>
      <c r="S2" s="27"/>
      <c r="U2">
        <f>Aktina*V3-2*PI()*Aktina</f>
        <v>-2.4434609527920612</v>
      </c>
      <c r="V2">
        <f>-Aktina</f>
        <v>-0.5</v>
      </c>
      <c r="X2" t="s">
        <v>65</v>
      </c>
      <c r="Y2">
        <f>2*PI()/200</f>
        <v>3.1415926535897934E-2</v>
      </c>
      <c r="Z2" t="s">
        <v>64</v>
      </c>
      <c r="AB2" t="s">
        <v>62</v>
      </c>
      <c r="AC2" t="s">
        <v>63</v>
      </c>
      <c r="AD2" t="s">
        <v>104</v>
      </c>
      <c r="AE2" t="s">
        <v>105</v>
      </c>
      <c r="AF2" t="s">
        <v>112</v>
      </c>
      <c r="AG2" t="s">
        <v>106</v>
      </c>
      <c r="AH2" t="s">
        <v>103</v>
      </c>
      <c r="AL2">
        <v>150</v>
      </c>
      <c r="AO2" t="s">
        <v>147</v>
      </c>
      <c r="AT2" t="s">
        <v>151</v>
      </c>
      <c r="AU2">
        <f>PI()/2-arxikiGon</f>
        <v>0.87266462599716477</v>
      </c>
      <c r="BS2" t="s">
        <v>78</v>
      </c>
    </row>
    <row r="3" spans="1:71">
      <c r="A3" t="s">
        <v>27</v>
      </c>
      <c r="B3">
        <f>Taxtyths/Aktina</f>
        <v>0.4</v>
      </c>
      <c r="F3" t="s">
        <v>6</v>
      </c>
      <c r="L3" t="s">
        <v>120</v>
      </c>
      <c r="M3">
        <f>1/SQRT(1+M2^2)</f>
        <v>0.64278760968653936</v>
      </c>
      <c r="N3" s="20">
        <f>-Aktina*(1-COS(P1))</f>
        <v>-0.4131759111665349</v>
      </c>
      <c r="O3">
        <v>0</v>
      </c>
      <c r="P3" s="27"/>
      <c r="Q3" s="27"/>
      <c r="R3" s="27"/>
      <c r="S3" s="27"/>
      <c r="U3" t="s">
        <v>109</v>
      </c>
      <c r="V3">
        <f>P1</f>
        <v>1.3962634015954638</v>
      </c>
      <c r="Z3">
        <f>-PI()</f>
        <v>-3.1415926535897931</v>
      </c>
      <c r="AA3">
        <f>0</f>
        <v>0</v>
      </c>
      <c r="AB3">
        <f t="shared" ref="AB3:AB66" si="0">-xkathetos/2+Aktina*Z3-Aktina*SIN(Z3)</f>
        <v>-3.1415926535897931</v>
      </c>
      <c r="AC3">
        <f>Aktina*(1+COS(Z3))</f>
        <v>0</v>
      </c>
      <c r="AD3">
        <f>Aktina*(AF3-SIN(AF3))-2*PI()*Aktina</f>
        <v>-3.1415926535897931</v>
      </c>
      <c r="AE3">
        <f t="shared" ref="AE3:AE66" si="1">-Aktina*(1-COS(AF3))</f>
        <v>0</v>
      </c>
      <c r="AF3">
        <f>0</f>
        <v>0</v>
      </c>
      <c r="AG3" t="s">
        <v>113</v>
      </c>
      <c r="AH3" t="s">
        <v>110</v>
      </c>
      <c r="AI3" t="s">
        <v>111</v>
      </c>
      <c r="AJ3" t="s">
        <v>126</v>
      </c>
      <c r="AK3" t="s">
        <v>136</v>
      </c>
      <c r="AL3" t="s">
        <v>137</v>
      </c>
      <c r="AM3" t="s">
        <v>138</v>
      </c>
      <c r="AO3" t="s">
        <v>148</v>
      </c>
      <c r="AP3" t="s">
        <v>149</v>
      </c>
      <c r="AS3">
        <f>PI()/2*Aktina</f>
        <v>0.78539816339744828</v>
      </c>
      <c r="AT3" t="s">
        <v>150</v>
      </c>
      <c r="AU3">
        <f>(PI()/2-arxikiGon)/50</f>
        <v>1.7453292519943295E-2</v>
      </c>
      <c r="AW3">
        <f>R_KAMP</f>
        <v>1.1417409992442784</v>
      </c>
      <c r="BE3" t="s">
        <v>31</v>
      </c>
      <c r="BS3" t="s">
        <v>129</v>
      </c>
    </row>
    <row r="4" spans="1:71" ht="15.75" thickBot="1">
      <c r="A4" s="1" t="s">
        <v>25</v>
      </c>
      <c r="B4">
        <v>0.5</v>
      </c>
      <c r="C4" t="s">
        <v>26</v>
      </c>
      <c r="L4" t="s">
        <v>121</v>
      </c>
      <c r="M4">
        <f>M3*M2</f>
        <v>-0.7660444431189779</v>
      </c>
      <c r="N4" t="s">
        <v>141</v>
      </c>
      <c r="P4" s="27"/>
      <c r="Q4" s="27"/>
      <c r="R4" s="27"/>
      <c r="S4" s="27"/>
      <c r="Z4">
        <f t="shared" ref="Z4:Z35" si="2">Z3+vimaex</f>
        <v>-3.1101767270538954</v>
      </c>
      <c r="AA4">
        <f>AA3+1</f>
        <v>1</v>
      </c>
      <c r="AB4">
        <f t="shared" si="0"/>
        <v>-3.11017931078278</v>
      </c>
      <c r="AC4">
        <f t="shared" ref="AC4:AC67" si="3">Aktina*(1+COS(Z4))</f>
        <v>2.4671981713419999E-4</v>
      </c>
      <c r="AD4">
        <f t="shared" ref="AD4:AD66" si="4">Aktina*(AF4-SIN(AF4))-2*PI()*Aktina</f>
        <v>-3.1415900698609085</v>
      </c>
      <c r="AE4">
        <f t="shared" si="1"/>
        <v>-2.4671981713419999E-4</v>
      </c>
      <c r="AF4">
        <f>AF3+2*PI()/200</f>
        <v>3.1415926535897934E-2</v>
      </c>
      <c r="AG4">
        <f>-PI()</f>
        <v>-3.1415926535897931</v>
      </c>
      <c r="AH4">
        <f t="shared" ref="AH4:AH35" si="5">xc+Aktina*COS(AG4)</f>
        <v>-2.9434609527920612</v>
      </c>
      <c r="AI4">
        <f t="shared" ref="AI4:AI35" si="6">yc+Aktina*SIN(AG4)</f>
        <v>-0.50000000000000011</v>
      </c>
      <c r="AJ4">
        <f>0</f>
        <v>0</v>
      </c>
      <c r="AK4">
        <f t="shared" ref="AK4:AK35" si="7">Platoskinishs*COS(2*PI()*AJ4/Tperiod)</f>
        <v>1.532088886237956</v>
      </c>
      <c r="AL4">
        <f t="shared" ref="AL4:AL35" si="8">2*ACOS(AK4/(4*Aktina))</f>
        <v>1.3962634015954638</v>
      </c>
      <c r="AP4" t="s">
        <v>138</v>
      </c>
      <c r="AQ4" t="s">
        <v>141</v>
      </c>
      <c r="AS4" t="s">
        <v>104</v>
      </c>
      <c r="AT4" t="s">
        <v>157</v>
      </c>
      <c r="AV4" t="s">
        <v>203</v>
      </c>
      <c r="BE4" t="s">
        <v>32</v>
      </c>
      <c r="BS4" t="s">
        <v>130</v>
      </c>
    </row>
    <row r="5" spans="1:71" ht="18.75" customHeight="1" thickTop="1" thickBot="1">
      <c r="A5" s="1" t="s">
        <v>30</v>
      </c>
      <c r="B5">
        <f>2*PI()*Aktina</f>
        <v>3.1415926535897931</v>
      </c>
      <c r="C5" t="s">
        <v>101</v>
      </c>
      <c r="L5" s="13" t="s">
        <v>158</v>
      </c>
      <c r="M5" s="14" t="s">
        <v>159</v>
      </c>
      <c r="N5" s="7" t="s">
        <v>161</v>
      </c>
      <c r="O5" s="8">
        <f>Length*(1-COS(ARXIKI))</f>
        <v>0.71442478062692127</v>
      </c>
      <c r="P5">
        <v>0</v>
      </c>
      <c r="Q5" t="s">
        <v>139</v>
      </c>
      <c r="R5">
        <f>Tperiod/40*P5</f>
        <v>0</v>
      </c>
      <c r="Z5">
        <f t="shared" si="2"/>
        <v>-3.0787608005179976</v>
      </c>
      <c r="AA5">
        <f t="shared" ref="AA5:AA68" si="9">AA4+1</f>
        <v>2</v>
      </c>
      <c r="AB5">
        <f t="shared" si="0"/>
        <v>-3.0787814672892386</v>
      </c>
      <c r="AC5">
        <f t="shared" si="3"/>
        <v>9.8663578586422052E-4</v>
      </c>
      <c r="AD5">
        <f t="shared" si="4"/>
        <v>-3.1415719868185517</v>
      </c>
      <c r="AE5">
        <f t="shared" si="1"/>
        <v>-9.8663578586422052E-4</v>
      </c>
      <c r="AF5">
        <f t="shared" ref="AF5:AF68" si="10">AF4+2*PI()/200</f>
        <v>6.2831853071795868E-2</v>
      </c>
      <c r="AG5">
        <f>AG4+2*PI()/50</f>
        <v>-3.0159289474462012</v>
      </c>
      <c r="AH5">
        <f t="shared" si="5"/>
        <v>-2.9395183034493</v>
      </c>
      <c r="AI5">
        <f t="shared" si="6"/>
        <v>-0.56266661678215224</v>
      </c>
      <c r="AJ5">
        <f t="shared" ref="AJ5:AJ36" si="11">AJ4+Tperiod/40</f>
        <v>7.093728083127071E-2</v>
      </c>
      <c r="AK5">
        <f t="shared" si="7"/>
        <v>1.5132263296926196</v>
      </c>
      <c r="AL5">
        <f t="shared" si="8"/>
        <v>1.4253571715846343</v>
      </c>
      <c r="AO5">
        <f>PI()/2</f>
        <v>1.5707963267948966</v>
      </c>
      <c r="AP5">
        <f t="shared" ref="AP5:AP36" si="12">-PI()*Aktina-Length*SIN(AO5)</f>
        <v>-3.5707963267948966</v>
      </c>
      <c r="AQ5">
        <f t="shared" ref="AQ5:AQ36" si="13">2*Aktina-Length*COS(AO5)</f>
        <v>0.99999999999999989</v>
      </c>
      <c r="AR5">
        <f>ARXIKI</f>
        <v>0.87266462599716477</v>
      </c>
      <c r="AS5">
        <f t="shared" ref="AS5:AS36" si="14">-PI()*Aktina-Length*SIN(AR5)</f>
        <v>-3.1028852130328524</v>
      </c>
      <c r="AT5">
        <f t="shared" ref="AT5:AT36" si="15">2*Aktina-Length*COS(AR5)</f>
        <v>-0.28557521937307873</v>
      </c>
      <c r="AV5">
        <f>0</f>
        <v>0</v>
      </c>
      <c r="AW5">
        <f t="shared" ref="AW5:AW36" si="16">$E$29+R_KAMP*COS(AV5)</f>
        <v>-0.91949948210169818</v>
      </c>
      <c r="AX5">
        <f t="shared" ref="AX5:AX36" si="17">$F$29+R_KAMP*SIN(AV5)</f>
        <v>0.32072105661881584</v>
      </c>
      <c r="BE5" t="s">
        <v>33</v>
      </c>
      <c r="BS5" t="s">
        <v>115</v>
      </c>
    </row>
    <row r="6" spans="1:71" ht="15.75" thickTop="1">
      <c r="A6" t="s">
        <v>1</v>
      </c>
      <c r="B6">
        <v>9.8066499999999994</v>
      </c>
      <c r="C6">
        <f>4*Aktina</f>
        <v>2</v>
      </c>
      <c r="F6" t="s">
        <v>9</v>
      </c>
      <c r="L6" s="15">
        <f>-PI()*Aktina-AB*R6*S7</f>
        <v>-3.0923949657246421</v>
      </c>
      <c r="M6" s="16">
        <f>2*Aktina-(Length-AD*(R6^2))</f>
        <v>-0.29797441500483601</v>
      </c>
      <c r="N6" s="9" t="s">
        <v>154</v>
      </c>
      <c r="O6" s="10">
        <f>SIN(ARXIKI/2)</f>
        <v>0.42261826174069944</v>
      </c>
      <c r="Q6" s="21" t="s">
        <v>153</v>
      </c>
      <c r="R6" s="22">
        <f>SNC!U6</f>
        <v>0.99128427058376367</v>
      </c>
      <c r="S6" s="22" t="s">
        <v>155</v>
      </c>
      <c r="T6" s="22">
        <f>SQRT(g/Length)*(R5+cyclicPerid/4)</f>
        <v>1.620025899124204</v>
      </c>
      <c r="U6" s="23" t="s">
        <v>197</v>
      </c>
      <c r="Z6">
        <f t="shared" si="2"/>
        <v>-3.0473448739820999</v>
      </c>
      <c r="AA6">
        <f t="shared" si="9"/>
        <v>3</v>
      </c>
      <c r="AB6">
        <f t="shared" si="0"/>
        <v>-3.0474146071266897</v>
      </c>
      <c r="AC6">
        <f t="shared" si="3"/>
        <v>2.2190176984599463E-3</v>
      </c>
      <c r="AD6">
        <f t="shared" si="4"/>
        <v>-3.1415229204452033</v>
      </c>
      <c r="AE6">
        <f t="shared" si="1"/>
        <v>-2.2190176984600019E-3</v>
      </c>
      <c r="AF6">
        <f t="shared" si="10"/>
        <v>9.4247779607693802E-2</v>
      </c>
      <c r="AG6">
        <f t="shared" ref="AG6:AG54" si="18">AG5+2*PI()/50</f>
        <v>-2.8902652413026093</v>
      </c>
      <c r="AH6">
        <f t="shared" si="5"/>
        <v>-2.9277525333563768</v>
      </c>
      <c r="AI6">
        <f t="shared" si="6"/>
        <v>-0.62434494358242765</v>
      </c>
      <c r="AJ6">
        <f t="shared" si="11"/>
        <v>0.14187456166254142</v>
      </c>
      <c r="AK6">
        <f t="shared" si="7"/>
        <v>1.4571031187999923</v>
      </c>
      <c r="AL6">
        <f t="shared" si="8"/>
        <v>1.5091826012557987</v>
      </c>
      <c r="AO6">
        <f>AO5-PI()/2/50</f>
        <v>1.5393804002589986</v>
      </c>
      <c r="AP6">
        <f t="shared" si="12"/>
        <v>-3.5698094475263598</v>
      </c>
      <c r="AQ6">
        <f t="shared" si="13"/>
        <v>0.93717848184374319</v>
      </c>
      <c r="AR6">
        <f t="shared" ref="AR6:AR37" si="19">AR5-DGON</f>
        <v>0.85521133347722145</v>
      </c>
      <c r="AS6">
        <f t="shared" si="14"/>
        <v>-3.0802154872404408</v>
      </c>
      <c r="AT6">
        <f t="shared" si="15"/>
        <v>-0.31211805798101455</v>
      </c>
      <c r="AV6">
        <f>AV5+2*PI()/50</f>
        <v>0.12566370614359174</v>
      </c>
      <c r="AW6">
        <f t="shared" si="16"/>
        <v>-0.9285024509022457</v>
      </c>
      <c r="AX6">
        <f t="shared" si="17"/>
        <v>0.46381914794704115</v>
      </c>
      <c r="BE6" t="s">
        <v>34</v>
      </c>
      <c r="BS6" t="s">
        <v>116</v>
      </c>
    </row>
    <row r="7" spans="1:71" ht="15.75" thickBot="1">
      <c r="A7" t="s">
        <v>2</v>
      </c>
      <c r="B7">
        <v>2</v>
      </c>
      <c r="F7" t="s">
        <v>10</v>
      </c>
      <c r="L7" s="17">
        <f>-PI()*Aktina</f>
        <v>-1.5707963267948966</v>
      </c>
      <c r="M7" s="18">
        <f>2*Aktina</f>
        <v>1</v>
      </c>
      <c r="N7" s="11" t="s">
        <v>162</v>
      </c>
      <c r="O7" s="12">
        <f>2*Length*O6</f>
        <v>1.6904730469627978</v>
      </c>
      <c r="Q7" s="24" t="s">
        <v>156</v>
      </c>
      <c r="R7" s="25">
        <f>SQRT(1-R6^2)</f>
        <v>0.13174025540136028</v>
      </c>
      <c r="S7" s="25">
        <f>SQRT(1-O6^2*R6^2)</f>
        <v>0.90801630147878343</v>
      </c>
      <c r="T7" s="25" t="s">
        <v>160</v>
      </c>
      <c r="U7" s="26">
        <f>N2</f>
        <v>-2.9358648292981653</v>
      </c>
      <c r="V7">
        <f>N3</f>
        <v>-0.4131759111665349</v>
      </c>
      <c r="Z7">
        <f t="shared" si="2"/>
        <v>-3.0159289474462021</v>
      </c>
      <c r="AA7">
        <f t="shared" si="9"/>
        <v>4</v>
      </c>
      <c r="AB7">
        <f t="shared" si="0"/>
        <v>-3.0160941837358459</v>
      </c>
      <c r="AC7">
        <f t="shared" si="3"/>
        <v>3.942649342761062E-3</v>
      </c>
      <c r="AD7">
        <f t="shared" si="4"/>
        <v>-3.1414274173001493</v>
      </c>
      <c r="AE7">
        <f t="shared" si="1"/>
        <v>-3.942649342761062E-3</v>
      </c>
      <c r="AF7">
        <f t="shared" si="10"/>
        <v>0.12566370614359174</v>
      </c>
      <c r="AG7">
        <f t="shared" si="18"/>
        <v>-2.7646015351590174</v>
      </c>
      <c r="AH7">
        <f t="shared" si="5"/>
        <v>-2.9083491957361867</v>
      </c>
      <c r="AI7">
        <f t="shared" si="6"/>
        <v>-0.68406227634233929</v>
      </c>
      <c r="AJ7">
        <f t="shared" si="11"/>
        <v>0.21281184249381213</v>
      </c>
      <c r="AK7">
        <f t="shared" si="7"/>
        <v>1.365101193274509</v>
      </c>
      <c r="AL7">
        <f t="shared" si="8"/>
        <v>1.6390987882076975</v>
      </c>
      <c r="AO7">
        <f t="shared" ref="AO7:AO70" si="20">AO6-PI()/2/50</f>
        <v>1.5079644737231006</v>
      </c>
      <c r="AP7">
        <f t="shared" si="12"/>
        <v>-3.5668497836514397</v>
      </c>
      <c r="AQ7">
        <f t="shared" si="13"/>
        <v>0.87441896094137295</v>
      </c>
      <c r="AR7">
        <f t="shared" si="19"/>
        <v>0.83775804095727813</v>
      </c>
      <c r="AS7">
        <f t="shared" si="14"/>
        <v>-3.0570859777496846</v>
      </c>
      <c r="AT7">
        <f t="shared" si="15"/>
        <v>-0.33826121271771648</v>
      </c>
      <c r="AV7">
        <f t="shared" ref="AV7:AV55" si="21">AV6+2*PI()/50</f>
        <v>0.25132741228718347</v>
      </c>
      <c r="AW7">
        <f t="shared" si="16"/>
        <v>-0.95536937510779141</v>
      </c>
      <c r="AX7">
        <f t="shared" si="17"/>
        <v>0.60466049689236401</v>
      </c>
      <c r="BE7" t="s">
        <v>35</v>
      </c>
      <c r="BS7" t="s">
        <v>117</v>
      </c>
    </row>
    <row r="8" spans="1:71" ht="15.75" thickTop="1">
      <c r="A8" t="s">
        <v>3</v>
      </c>
      <c r="B8">
        <f>4*Aktina</f>
        <v>2</v>
      </c>
      <c r="F8" t="s">
        <v>11</v>
      </c>
      <c r="U8" s="2">
        <f>xc</f>
        <v>-2.4434609527920612</v>
      </c>
      <c r="V8" s="2">
        <f>yc</f>
        <v>-0.5</v>
      </c>
      <c r="Z8">
        <f t="shared" si="2"/>
        <v>-2.9845130209103043</v>
      </c>
      <c r="AA8">
        <f t="shared" si="9"/>
        <v>5</v>
      </c>
      <c r="AB8">
        <f t="shared" si="0"/>
        <v>-2.9848356047299336</v>
      </c>
      <c r="AC8">
        <f t="shared" si="3"/>
        <v>6.1558297024310593E-3</v>
      </c>
      <c r="AD8">
        <f t="shared" si="4"/>
        <v>-3.1412700697701639</v>
      </c>
      <c r="AE8">
        <f t="shared" si="1"/>
        <v>-6.1558297024311148E-3</v>
      </c>
      <c r="AF8">
        <f t="shared" si="10"/>
        <v>0.15707963267948966</v>
      </c>
      <c r="AG8">
        <f t="shared" si="18"/>
        <v>-2.6389378290154255</v>
      </c>
      <c r="AH8">
        <f t="shared" si="5"/>
        <v>-2.881614292813993</v>
      </c>
      <c r="AI8">
        <f t="shared" si="6"/>
        <v>-0.74087683705085805</v>
      </c>
      <c r="AJ8">
        <f t="shared" si="11"/>
        <v>0.28374912332508284</v>
      </c>
      <c r="AK8">
        <f t="shared" si="7"/>
        <v>1.239485945859492</v>
      </c>
      <c r="AL8">
        <f t="shared" si="8"/>
        <v>1.8047623407947904</v>
      </c>
      <c r="AO8">
        <f t="shared" si="20"/>
        <v>1.4765485471872026</v>
      </c>
      <c r="AP8">
        <f t="shared" si="12"/>
        <v>-3.5619202560010566</v>
      </c>
      <c r="AQ8">
        <f t="shared" si="13"/>
        <v>0.81178337336297102</v>
      </c>
      <c r="AR8">
        <f t="shared" si="19"/>
        <v>0.82030474843733481</v>
      </c>
      <c r="AS8">
        <f t="shared" si="14"/>
        <v>-3.0335037300332375</v>
      </c>
      <c r="AT8">
        <f t="shared" si="15"/>
        <v>-0.36399672012499718</v>
      </c>
      <c r="AV8">
        <f t="shared" si="21"/>
        <v>0.37699111843077521</v>
      </c>
      <c r="AW8">
        <f t="shared" si="16"/>
        <v>-0.99967654727409072</v>
      </c>
      <c r="AX8">
        <f t="shared" si="17"/>
        <v>0.74102395124737308</v>
      </c>
      <c r="BE8" t="s">
        <v>36</v>
      </c>
      <c r="BS8" t="s">
        <v>118</v>
      </c>
    </row>
    <row r="9" spans="1:71">
      <c r="A9" t="s">
        <v>4</v>
      </c>
      <c r="B9">
        <f>Tperiod/200</f>
        <v>1.4187456166254142E-2</v>
      </c>
      <c r="F9" t="s">
        <v>12</v>
      </c>
      <c r="S9" t="s">
        <v>119</v>
      </c>
      <c r="T9">
        <f>-SIN(V3)/(1-COS(V3))</f>
        <v>-1.1917535925942098</v>
      </c>
      <c r="U9">
        <f>N2-V11*M4</f>
        <v>-1.9510570762859574</v>
      </c>
      <c r="V9">
        <f>N3+V11*M3</f>
        <v>0.41317591116653479</v>
      </c>
      <c r="Z9">
        <f t="shared" si="2"/>
        <v>-2.9530970943744066</v>
      </c>
      <c r="AA9">
        <f t="shared" si="9"/>
        <v>6</v>
      </c>
      <c r="AB9">
        <f t="shared" si="0"/>
        <v>-2.9536542166892379</v>
      </c>
      <c r="AC9">
        <f t="shared" si="3"/>
        <v>8.8563746356555839E-3</v>
      </c>
      <c r="AD9">
        <f t="shared" si="4"/>
        <v>-3.1410355312749618</v>
      </c>
      <c r="AE9">
        <f t="shared" si="1"/>
        <v>-8.8563746356556394E-3</v>
      </c>
      <c r="AF9">
        <f t="shared" si="10"/>
        <v>0.18849555921538758</v>
      </c>
      <c r="AG9">
        <f t="shared" si="18"/>
        <v>-2.5132741228718336</v>
      </c>
      <c r="AH9">
        <f t="shared" si="5"/>
        <v>-2.8479694499795345</v>
      </c>
      <c r="AI9">
        <f t="shared" si="6"/>
        <v>-0.7938926261462369</v>
      </c>
      <c r="AJ9">
        <f t="shared" si="11"/>
        <v>0.35468640415635355</v>
      </c>
      <c r="AK9">
        <f t="shared" si="7"/>
        <v>1.0833504408394037</v>
      </c>
      <c r="AL9">
        <f t="shared" si="8"/>
        <v>1.9967351576351919</v>
      </c>
      <c r="AO9">
        <f t="shared" si="20"/>
        <v>1.4451326206513047</v>
      </c>
      <c r="AP9">
        <f t="shared" si="12"/>
        <v>-3.5550257294238521</v>
      </c>
      <c r="AQ9">
        <f t="shared" si="13"/>
        <v>0.74933353287139104</v>
      </c>
      <c r="AR9">
        <f t="shared" si="19"/>
        <v>0.80285145591739149</v>
      </c>
      <c r="AS9">
        <f t="shared" si="14"/>
        <v>-3.0094759274721987</v>
      </c>
      <c r="AT9">
        <f t="shared" si="15"/>
        <v>-0.38931674091799473</v>
      </c>
      <c r="AV9">
        <f t="shared" si="21"/>
        <v>0.50265482457436694</v>
      </c>
      <c r="AW9">
        <f t="shared" si="16"/>
        <v>-1.0607252168282597</v>
      </c>
      <c r="AX9">
        <f t="shared" si="17"/>
        <v>0.87075897787731082</v>
      </c>
      <c r="BE9" t="s">
        <v>37</v>
      </c>
      <c r="BS9" t="s">
        <v>131</v>
      </c>
    </row>
    <row r="10" spans="1:71">
      <c r="A10" t="s">
        <v>5</v>
      </c>
      <c r="B10">
        <f>2*PI()*SQRT(Length/g)</f>
        <v>2.8374912332508284</v>
      </c>
      <c r="D10" t="s">
        <v>24</v>
      </c>
      <c r="F10" t="s">
        <v>13</v>
      </c>
      <c r="J10" t="s">
        <v>14</v>
      </c>
      <c r="S10" t="s">
        <v>120</v>
      </c>
      <c r="T10">
        <f>1/SQRT(1+T9^2)</f>
        <v>0.64278760968653936</v>
      </c>
      <c r="Z10">
        <f t="shared" si="2"/>
        <v>-2.9216811678385088</v>
      </c>
      <c r="AA10">
        <f t="shared" si="9"/>
        <v>7</v>
      </c>
      <c r="AB10">
        <f t="shared" si="0"/>
        <v>-2.9225652900158803</v>
      </c>
      <c r="AC10">
        <f t="shared" si="3"/>
        <v>1.2041619030626172E-2</v>
      </c>
      <c r="AD10">
        <f t="shared" si="4"/>
        <v>-3.1407085314124217</v>
      </c>
      <c r="AE10">
        <f t="shared" si="1"/>
        <v>-1.2041619030626283E-2</v>
      </c>
      <c r="AF10">
        <f t="shared" si="10"/>
        <v>0.2199114857512855</v>
      </c>
      <c r="AG10">
        <f t="shared" si="18"/>
        <v>-2.3876104167282417</v>
      </c>
      <c r="AH10">
        <f t="shared" si="5"/>
        <v>-2.8079452665027667</v>
      </c>
      <c r="AI10">
        <f t="shared" si="6"/>
        <v>-0.84227355296434481</v>
      </c>
      <c r="AJ10">
        <f t="shared" si="11"/>
        <v>0.42562368498762426</v>
      </c>
      <c r="AK10">
        <f t="shared" si="7"/>
        <v>0.90053925253187117</v>
      </c>
      <c r="AL10">
        <f t="shared" si="8"/>
        <v>2.2074580826361174</v>
      </c>
      <c r="AO10">
        <f t="shared" si="20"/>
        <v>1.4137166941154067</v>
      </c>
      <c r="AP10">
        <f t="shared" si="12"/>
        <v>-3.5461730079851721</v>
      </c>
      <c r="AQ10">
        <f t="shared" si="13"/>
        <v>0.68713106991953765</v>
      </c>
      <c r="AR10">
        <f t="shared" si="19"/>
        <v>0.78539816339744817</v>
      </c>
      <c r="AS10">
        <f t="shared" si="14"/>
        <v>-2.9850098891679915</v>
      </c>
      <c r="AT10">
        <f t="shared" si="15"/>
        <v>-0.41421356237309515</v>
      </c>
      <c r="AV10">
        <f t="shared" si="21"/>
        <v>0.62831853071795862</v>
      </c>
      <c r="AW10">
        <f t="shared" si="16"/>
        <v>-1.1375526097827213</v>
      </c>
      <c r="AX10">
        <f t="shared" si="17"/>
        <v>0.99181957791227449</v>
      </c>
      <c r="BE10" t="s">
        <v>38</v>
      </c>
    </row>
    <row r="11" spans="1:71">
      <c r="A11" t="s">
        <v>8</v>
      </c>
      <c r="B11">
        <v>40</v>
      </c>
      <c r="C11">
        <f>RADIANS(B11)</f>
        <v>0.69813170079773179</v>
      </c>
      <c r="D11">
        <f>4*SQRT(Length/g)*'landen trasform'!W18</f>
        <v>2.9264196815278387</v>
      </c>
      <c r="S11" t="s">
        <v>121</v>
      </c>
      <c r="T11">
        <f>T10*T9</f>
        <v>-0.7660444431189779</v>
      </c>
      <c r="U11" t="s">
        <v>122</v>
      </c>
      <c r="V11">
        <f>2*SQRT(-2*V7*Aktina)</f>
        <v>1.2855752193730787</v>
      </c>
      <c r="Z11">
        <f t="shared" si="2"/>
        <v>-2.8902652413026111</v>
      </c>
      <c r="AA11">
        <f t="shared" si="9"/>
        <v>8</v>
      </c>
      <c r="AB11">
        <f t="shared" si="0"/>
        <v>-2.8915840038637755</v>
      </c>
      <c r="AC11">
        <f t="shared" si="3"/>
        <v>1.5708419435684295E-2</v>
      </c>
      <c r="AD11">
        <f t="shared" si="4"/>
        <v>-3.1402738910286287</v>
      </c>
      <c r="AE11">
        <f t="shared" si="1"/>
        <v>-1.5708419435684462E-2</v>
      </c>
      <c r="AF11">
        <f t="shared" si="10"/>
        <v>0.25132741228718342</v>
      </c>
      <c r="AG11">
        <f t="shared" si="18"/>
        <v>-2.2619467105846498</v>
      </c>
      <c r="AH11">
        <f t="shared" si="5"/>
        <v>-2.7621729476664054</v>
      </c>
      <c r="AI11">
        <f t="shared" si="6"/>
        <v>-0.88525662138789496</v>
      </c>
      <c r="AJ11">
        <f t="shared" si="11"/>
        <v>0.49656096581889497</v>
      </c>
      <c r="AK11">
        <f t="shared" si="7"/>
        <v>0.69555379910857529</v>
      </c>
      <c r="AL11">
        <f t="shared" si="8"/>
        <v>2.4311947612056168</v>
      </c>
      <c r="AO11">
        <f t="shared" si="20"/>
        <v>1.3823007675795087</v>
      </c>
      <c r="AP11">
        <f t="shared" si="12"/>
        <v>-3.5353708282522738</v>
      </c>
      <c r="AQ11">
        <f t="shared" si="13"/>
        <v>0.62523737082855013</v>
      </c>
      <c r="AR11">
        <f t="shared" si="19"/>
        <v>0.76794487087750485</v>
      </c>
      <c r="AS11">
        <f t="shared" si="14"/>
        <v>-2.9601130677128911</v>
      </c>
      <c r="AT11">
        <f t="shared" si="15"/>
        <v>-0.43867960067730261</v>
      </c>
      <c r="AV11">
        <f t="shared" si="21"/>
        <v>0.7539822368615503</v>
      </c>
      <c r="AW11">
        <f t="shared" si="16"/>
        <v>-1.2289471122561242</v>
      </c>
      <c r="AX11">
        <f t="shared" si="17"/>
        <v>1.1022965533716156</v>
      </c>
      <c r="BE11" t="s">
        <v>39</v>
      </c>
    </row>
    <row r="12" spans="1:71">
      <c r="A12">
        <f>0</f>
        <v>0</v>
      </c>
      <c r="B12" t="s">
        <v>125</v>
      </c>
      <c r="C12" t="s">
        <v>152</v>
      </c>
      <c r="D12">
        <f>90-B11</f>
        <v>50</v>
      </c>
      <c r="Z12">
        <f t="shared" si="2"/>
        <v>-2.8588493147667133</v>
      </c>
      <c r="AA12">
        <f t="shared" si="9"/>
        <v>9</v>
      </c>
      <c r="AB12">
        <f t="shared" si="0"/>
        <v>-2.8607254311586394</v>
      </c>
      <c r="AC12">
        <f t="shared" si="3"/>
        <v>1.9853157161528245E-2</v>
      </c>
      <c r="AD12">
        <f t="shared" si="4"/>
        <v>-3.139716537197867</v>
      </c>
      <c r="AE12">
        <f t="shared" si="1"/>
        <v>-1.9853157161528467E-2</v>
      </c>
      <c r="AF12">
        <f t="shared" si="10"/>
        <v>0.28274333882308134</v>
      </c>
      <c r="AG12">
        <f t="shared" si="18"/>
        <v>-2.1362830044410579</v>
      </c>
      <c r="AH12">
        <f t="shared" si="5"/>
        <v>-2.711374350281559</v>
      </c>
      <c r="AI12">
        <f t="shared" si="6"/>
        <v>-0.92216396275100787</v>
      </c>
      <c r="AJ12">
        <f t="shared" si="11"/>
        <v>0.56749824665016568</v>
      </c>
      <c r="AK12">
        <f t="shared" si="7"/>
        <v>0.47344150274051394</v>
      </c>
      <c r="AL12">
        <f t="shared" si="8"/>
        <v>2.663614099956662</v>
      </c>
      <c r="AO12">
        <f t="shared" si="20"/>
        <v>1.3508848410436107</v>
      </c>
      <c r="AP12">
        <f t="shared" si="12"/>
        <v>-3.5226298506723914</v>
      </c>
      <c r="AQ12">
        <f t="shared" si="13"/>
        <v>0.56371351720691421</v>
      </c>
      <c r="AR12">
        <f t="shared" si="19"/>
        <v>0.75049157835756153</v>
      </c>
      <c r="AS12">
        <f t="shared" si="14"/>
        <v>-2.9347930469198933</v>
      </c>
      <c r="AT12">
        <f t="shared" si="15"/>
        <v>-0.46270740323834114</v>
      </c>
      <c r="AV12">
        <f t="shared" si="21"/>
        <v>0.87964594300514198</v>
      </c>
      <c r="AW12">
        <f t="shared" si="16"/>
        <v>-1.3334673783480326</v>
      </c>
      <c r="AX12">
        <f t="shared" si="17"/>
        <v>1.2004476163565947</v>
      </c>
      <c r="BE12" t="s">
        <v>40</v>
      </c>
      <c r="BS12" t="s">
        <v>132</v>
      </c>
    </row>
    <row r="13" spans="1:71">
      <c r="A13">
        <f t="shared" ref="A13:A76" si="22">A12+dt</f>
        <v>1.4187456166254142E-2</v>
      </c>
      <c r="Z13">
        <f t="shared" si="2"/>
        <v>-2.8274333882308156</v>
      </c>
      <c r="AA13">
        <f t="shared" si="9"/>
        <v>10</v>
      </c>
      <c r="AB13">
        <f t="shared" si="0"/>
        <v>-2.8300045237228315</v>
      </c>
      <c r="AC13">
        <f t="shared" si="3"/>
        <v>2.4471741852422957E-2</v>
      </c>
      <c r="AD13">
        <f t="shared" si="4"/>
        <v>-3.1390215180977772</v>
      </c>
      <c r="AE13">
        <f t="shared" si="1"/>
        <v>-2.4471741852423179E-2</v>
      </c>
      <c r="AF13">
        <f t="shared" si="10"/>
        <v>0.31415926535897926</v>
      </c>
      <c r="AG13">
        <f t="shared" si="18"/>
        <v>-2.010619298297466</v>
      </c>
      <c r="AH13">
        <f t="shared" si="5"/>
        <v>-2.6563505985745968</v>
      </c>
      <c r="AI13">
        <f t="shared" si="6"/>
        <v>-0.95241352623301012</v>
      </c>
      <c r="AJ13">
        <f t="shared" si="11"/>
        <v>0.63843552748143639</v>
      </c>
      <c r="AK13">
        <f t="shared" si="7"/>
        <v>0.23967150531271786</v>
      </c>
      <c r="AL13">
        <f t="shared" si="8"/>
        <v>2.9013437711965402</v>
      </c>
      <c r="AO13">
        <f t="shared" si="20"/>
        <v>1.3194689145077128</v>
      </c>
      <c r="AP13">
        <f t="shared" si="12"/>
        <v>-3.5079626490521587</v>
      </c>
      <c r="AQ13">
        <f t="shared" si="13"/>
        <v>0.50262022567028963</v>
      </c>
      <c r="AR13">
        <f t="shared" si="19"/>
        <v>0.73303828583761821</v>
      </c>
      <c r="AS13">
        <f t="shared" si="14"/>
        <v>-2.9090575395126126</v>
      </c>
      <c r="AT13">
        <f t="shared" si="15"/>
        <v>-0.48628965095478871</v>
      </c>
      <c r="AV13">
        <f t="shared" si="21"/>
        <v>1.0053096491487337</v>
      </c>
      <c r="AW13">
        <f t="shared" si="16"/>
        <v>-1.4494650610247977</v>
      </c>
      <c r="AX13">
        <f t="shared" si="17"/>
        <v>1.2847248659713351</v>
      </c>
      <c r="BE13" t="s">
        <v>41</v>
      </c>
      <c r="BS13" t="s">
        <v>133</v>
      </c>
    </row>
    <row r="14" spans="1:71">
      <c r="A14">
        <f t="shared" si="22"/>
        <v>2.8374912332508283E-2</v>
      </c>
      <c r="E14" t="s">
        <v>118</v>
      </c>
      <c r="F14">
        <f>ATAN(T9)</f>
        <v>-0.87266462599716466</v>
      </c>
      <c r="Z14">
        <f t="shared" si="2"/>
        <v>-2.7960174616949178</v>
      </c>
      <c r="AA14">
        <f t="shared" si="9"/>
        <v>11</v>
      </c>
      <c r="AB14">
        <f t="shared" si="0"/>
        <v>-2.7994360975197106</v>
      </c>
      <c r="AC14">
        <f t="shared" si="3"/>
        <v>2.9559615522886939E-2</v>
      </c>
      <c r="AD14">
        <f t="shared" si="4"/>
        <v>-3.1381740177650004</v>
      </c>
      <c r="AE14">
        <f t="shared" si="1"/>
        <v>-2.9559615522887273E-2</v>
      </c>
      <c r="AF14">
        <f t="shared" si="10"/>
        <v>0.34557519189487718</v>
      </c>
      <c r="AG14">
        <f t="shared" si="18"/>
        <v>-1.8849555921538743</v>
      </c>
      <c r="AH14">
        <f t="shared" si="5"/>
        <v>-2.5979694499795341</v>
      </c>
      <c r="AI14">
        <f t="shared" si="6"/>
        <v>-0.97552825814757704</v>
      </c>
      <c r="AJ14">
        <f t="shared" si="11"/>
        <v>0.7093728083127071</v>
      </c>
      <c r="AK14">
        <f t="shared" si="7"/>
        <v>-2.4634025486688315E-16</v>
      </c>
      <c r="AL14">
        <f t="shared" si="8"/>
        <v>3.1415926535897936</v>
      </c>
      <c r="AO14">
        <f t="shared" si="20"/>
        <v>1.2880529879718148</v>
      </c>
      <c r="AP14">
        <f t="shared" si="12"/>
        <v>-3.4913836981487822</v>
      </c>
      <c r="AQ14">
        <f t="shared" si="13"/>
        <v>0.44201778792154067</v>
      </c>
      <c r="AR14">
        <f t="shared" si="19"/>
        <v>0.71558499331767489</v>
      </c>
      <c r="AS14">
        <f t="shared" si="14"/>
        <v>-2.8829143847759107</v>
      </c>
      <c r="AT14">
        <f t="shared" si="15"/>
        <v>-0.50941916044554425</v>
      </c>
      <c r="AV14">
        <f t="shared" si="21"/>
        <v>1.1309733552923253</v>
      </c>
      <c r="AW14">
        <f t="shared" si="16"/>
        <v>-1.5751108075369493</v>
      </c>
      <c r="AX14">
        <f t="shared" si="17"/>
        <v>1.3537991996446241</v>
      </c>
      <c r="BE14" t="s">
        <v>42</v>
      </c>
      <c r="BS14" t="s">
        <v>95</v>
      </c>
    </row>
    <row r="15" spans="1:71">
      <c r="A15">
        <f t="shared" si="22"/>
        <v>4.2562368498762423E-2</v>
      </c>
      <c r="E15" t="s">
        <v>118</v>
      </c>
      <c r="Z15">
        <f t="shared" si="2"/>
        <v>-2.7646015351590201</v>
      </c>
      <c r="AA15">
        <f t="shared" si="9"/>
        <v>12</v>
      </c>
      <c r="AB15">
        <f t="shared" si="0"/>
        <v>-2.7690348180320687</v>
      </c>
      <c r="AC15">
        <f t="shared" si="3"/>
        <v>3.5111757055873938E-2</v>
      </c>
      <c r="AD15">
        <f t="shared" si="4"/>
        <v>-3.1371593707167444</v>
      </c>
      <c r="AE15">
        <f t="shared" si="1"/>
        <v>-3.5111757055874271E-2</v>
      </c>
      <c r="AF15">
        <f t="shared" si="10"/>
        <v>0.3769911184307751</v>
      </c>
      <c r="AG15">
        <f t="shared" si="18"/>
        <v>-1.7592918860102826</v>
      </c>
      <c r="AH15">
        <f t="shared" si="5"/>
        <v>-2.5371516100849227</v>
      </c>
      <c r="AI15">
        <f t="shared" si="6"/>
        <v>-0.99114362536434442</v>
      </c>
      <c r="AJ15">
        <f t="shared" si="11"/>
        <v>0.78031008914397781</v>
      </c>
      <c r="AK15">
        <f t="shared" si="7"/>
        <v>-0.23967150531271769</v>
      </c>
      <c r="AL15">
        <f t="shared" si="8"/>
        <v>3.381841535983046</v>
      </c>
      <c r="AO15">
        <f t="shared" si="20"/>
        <v>1.2566370614359168</v>
      </c>
      <c r="AP15">
        <f t="shared" si="12"/>
        <v>-3.4729093593852034</v>
      </c>
      <c r="AQ15">
        <f t="shared" si="13"/>
        <v>0.38196601125010421</v>
      </c>
      <c r="AR15">
        <f t="shared" si="19"/>
        <v>0.69813170079773157</v>
      </c>
      <c r="AS15">
        <f t="shared" si="14"/>
        <v>-2.8563715461679751</v>
      </c>
      <c r="AT15">
        <f t="shared" si="15"/>
        <v>-0.53208888623795647</v>
      </c>
      <c r="AV15">
        <f t="shared" si="21"/>
        <v>1.256637061435917</v>
      </c>
      <c r="AW15">
        <f t="shared" si="16"/>
        <v>-1.7084231094048603</v>
      </c>
      <c r="AX15">
        <f t="shared" si="17"/>
        <v>1.4065812738714267</v>
      </c>
      <c r="BE15" t="s">
        <v>43</v>
      </c>
      <c r="BS15" t="s">
        <v>134</v>
      </c>
    </row>
    <row r="16" spans="1:71">
      <c r="A16">
        <f t="shared" si="22"/>
        <v>5.6749824665016567E-2</v>
      </c>
      <c r="E16" t="s">
        <v>163</v>
      </c>
      <c r="Z16">
        <f t="shared" si="2"/>
        <v>-2.7331856086231223</v>
      </c>
      <c r="AA16">
        <f t="shared" si="9"/>
        <v>13</v>
      </c>
      <c r="AB16">
        <f t="shared" si="0"/>
        <v>-2.7388151857890684</v>
      </c>
      <c r="AC16">
        <f t="shared" si="3"/>
        <v>4.1122687158008986E-2</v>
      </c>
      <c r="AD16">
        <f t="shared" si="4"/>
        <v>-3.1359630764238471</v>
      </c>
      <c r="AE16">
        <f t="shared" si="1"/>
        <v>-4.112268715800943E-2</v>
      </c>
      <c r="AF16">
        <f t="shared" si="10"/>
        <v>0.40840704496667302</v>
      </c>
      <c r="AG16">
        <f t="shared" si="18"/>
        <v>-1.633628179866691</v>
      </c>
      <c r="AH16">
        <f t="shared" si="5"/>
        <v>-2.4748562125567171</v>
      </c>
      <c r="AI16">
        <f t="shared" si="6"/>
        <v>-0.99901336421413589</v>
      </c>
      <c r="AJ16">
        <f t="shared" si="11"/>
        <v>0.85124736997524852</v>
      </c>
      <c r="AK16">
        <f t="shared" si="7"/>
        <v>-0.47344150274051378</v>
      </c>
      <c r="AL16">
        <f t="shared" si="8"/>
        <v>3.6195712072229242</v>
      </c>
      <c r="AO16">
        <f t="shared" si="20"/>
        <v>1.2252211349000188</v>
      </c>
      <c r="AP16">
        <f t="shared" si="12"/>
        <v>-3.4525578647033472</v>
      </c>
      <c r="AQ16">
        <f t="shared" si="13"/>
        <v>0.32252415950941626</v>
      </c>
      <c r="AR16">
        <f t="shared" si="19"/>
        <v>0.68067840827778825</v>
      </c>
      <c r="AS16">
        <f t="shared" si="14"/>
        <v>-2.8294371088945711</v>
      </c>
      <c r="AT16">
        <f t="shared" si="15"/>
        <v>-0.55429192291394203</v>
      </c>
      <c r="AV16">
        <f t="shared" si="21"/>
        <v>1.3823007675795087</v>
      </c>
      <c r="AW16">
        <f t="shared" si="16"/>
        <v>-1.8472995519911646</v>
      </c>
      <c r="AX16">
        <f t="shared" si="17"/>
        <v>1.442238683810704</v>
      </c>
      <c r="BE16" t="s">
        <v>44</v>
      </c>
      <c r="BS16" t="s">
        <v>90</v>
      </c>
    </row>
    <row r="17" spans="1:71">
      <c r="A17">
        <f t="shared" si="22"/>
        <v>7.093728083127071E-2</v>
      </c>
      <c r="E17" t="s">
        <v>164</v>
      </c>
      <c r="Z17">
        <f t="shared" si="2"/>
        <v>-2.7017696820872246</v>
      </c>
      <c r="AA17">
        <f t="shared" si="9"/>
        <v>14</v>
      </c>
      <c r="AB17">
        <f t="shared" si="0"/>
        <v>-2.7087915220559737</v>
      </c>
      <c r="AC17">
        <f t="shared" si="3"/>
        <v>4.7586473766989712E-2</v>
      </c>
      <c r="AD17">
        <f t="shared" si="4"/>
        <v>-3.1345708136210439</v>
      </c>
      <c r="AE17">
        <f t="shared" si="1"/>
        <v>-4.7586473766990212E-2</v>
      </c>
      <c r="AF17">
        <f t="shared" si="10"/>
        <v>0.43982297150257094</v>
      </c>
      <c r="AG17">
        <f t="shared" si="18"/>
        <v>-1.5079644737230993</v>
      </c>
      <c r="AH17">
        <f t="shared" si="5"/>
        <v>-2.4120656930274036</v>
      </c>
      <c r="AI17">
        <f t="shared" si="6"/>
        <v>-0.99901336421413567</v>
      </c>
      <c r="AJ17">
        <f t="shared" si="11"/>
        <v>0.92218465080651923</v>
      </c>
      <c r="AK17">
        <f t="shared" si="7"/>
        <v>-0.69555379910857518</v>
      </c>
      <c r="AL17">
        <f t="shared" si="8"/>
        <v>3.8519905459739694</v>
      </c>
      <c r="AO17">
        <f t="shared" si="20"/>
        <v>1.1938052083641209</v>
      </c>
      <c r="AP17">
        <f t="shared" si="12"/>
        <v>-3.4303492985713993</v>
      </c>
      <c r="AQ17">
        <f t="shared" si="13"/>
        <v>0.26375089463064305</v>
      </c>
      <c r="AR17">
        <f t="shared" si="19"/>
        <v>0.66322511575784493</v>
      </c>
      <c r="AS17">
        <f t="shared" si="14"/>
        <v>-2.8021192774462129</v>
      </c>
      <c r="AT17">
        <f t="shared" si="15"/>
        <v>-0.57602150721344425</v>
      </c>
      <c r="AV17">
        <f t="shared" si="21"/>
        <v>1.5079644737231004</v>
      </c>
      <c r="AW17">
        <f t="shared" si="16"/>
        <v>-1.9895499708355104</v>
      </c>
      <c r="AX17">
        <f t="shared" si="17"/>
        <v>1.4602090908070087</v>
      </c>
      <c r="BE17" t="s">
        <v>45</v>
      </c>
    </row>
    <row r="18" spans="1:71">
      <c r="A18">
        <f t="shared" si="22"/>
        <v>8.5124736997524847E-2</v>
      </c>
      <c r="E18" t="s">
        <v>163</v>
      </c>
      <c r="F18">
        <f>mass*g*COS(GoNiaEF)</f>
        <v>12.607186225065004</v>
      </c>
      <c r="Z18">
        <f t="shared" si="2"/>
        <v>-2.6703537555513268</v>
      </c>
      <c r="AA18">
        <f t="shared" si="9"/>
        <v>15</v>
      </c>
      <c r="AB18">
        <f t="shared" si="0"/>
        <v>-2.6789779547007875</v>
      </c>
      <c r="AC18">
        <f t="shared" si="3"/>
        <v>5.4496737905815495E-2</v>
      </c>
      <c r="AD18">
        <f t="shared" si="4"/>
        <v>-3.132968454440332</v>
      </c>
      <c r="AE18">
        <f t="shared" si="1"/>
        <v>-5.4496737905816051E-2</v>
      </c>
      <c r="AF18">
        <f t="shared" si="10"/>
        <v>0.47123889803846886</v>
      </c>
      <c r="AG18">
        <f t="shared" si="18"/>
        <v>-1.3823007675795076</v>
      </c>
      <c r="AH18">
        <f t="shared" si="5"/>
        <v>-2.3497702954991984</v>
      </c>
      <c r="AI18">
        <f t="shared" si="6"/>
        <v>-0.99114362536434419</v>
      </c>
      <c r="AJ18">
        <f t="shared" si="11"/>
        <v>0.99312193163778995</v>
      </c>
      <c r="AK18">
        <f t="shared" si="7"/>
        <v>-0.90053925253187095</v>
      </c>
      <c r="AL18">
        <f t="shared" si="8"/>
        <v>4.0757272245434688</v>
      </c>
      <c r="AO18">
        <f t="shared" si="20"/>
        <v>1.1623892818282229</v>
      </c>
      <c r="AP18">
        <f t="shared" si="12"/>
        <v>-3.4063055781628586</v>
      </c>
      <c r="AQ18">
        <f t="shared" si="13"/>
        <v>0.20570421873043765</v>
      </c>
      <c r="AR18">
        <f t="shared" si="19"/>
        <v>0.64577182323790161</v>
      </c>
      <c r="AS18">
        <f t="shared" si="14"/>
        <v>-2.7744263730989926</v>
      </c>
      <c r="AT18">
        <f t="shared" si="15"/>
        <v>-0.5972710200945861</v>
      </c>
      <c r="AV18">
        <f t="shared" si="21"/>
        <v>1.6336281798666921</v>
      </c>
      <c r="AW18">
        <f t="shared" si="16"/>
        <v>-2.1329309918564419</v>
      </c>
      <c r="AX18">
        <f t="shared" si="17"/>
        <v>1.4602090908070087</v>
      </c>
      <c r="BE18" t="s">
        <v>46</v>
      </c>
      <c r="BS18" t="s">
        <v>135</v>
      </c>
    </row>
    <row r="19" spans="1:71">
      <c r="A19">
        <f t="shared" si="22"/>
        <v>9.9312193163778983E-2</v>
      </c>
      <c r="E19" t="s">
        <v>165</v>
      </c>
      <c r="Z19">
        <f t="shared" si="2"/>
        <v>-2.6389378290154291</v>
      </c>
      <c r="AA19">
        <f t="shared" si="9"/>
        <v>16</v>
      </c>
      <c r="AB19">
        <f t="shared" si="0"/>
        <v>-2.6493884042517548</v>
      </c>
      <c r="AC19">
        <f t="shared" si="3"/>
        <v>6.1846659978067542E-2</v>
      </c>
      <c r="AD19">
        <f t="shared" si="4"/>
        <v>-3.1311420783534674</v>
      </c>
      <c r="AE19">
        <f t="shared" si="1"/>
        <v>-6.1846659978068208E-2</v>
      </c>
      <c r="AF19">
        <f t="shared" si="10"/>
        <v>0.50265482457436683</v>
      </c>
      <c r="AG19">
        <f t="shared" si="18"/>
        <v>-1.2566370614359159</v>
      </c>
      <c r="AH19">
        <f t="shared" si="5"/>
        <v>-2.288952455604587</v>
      </c>
      <c r="AI19">
        <f t="shared" si="6"/>
        <v>-0.9755282581475766</v>
      </c>
      <c r="AJ19">
        <f t="shared" si="11"/>
        <v>1.0640592124690607</v>
      </c>
      <c r="AK19">
        <f t="shared" si="7"/>
        <v>-1.0833504408394037</v>
      </c>
      <c r="AL19">
        <f t="shared" si="8"/>
        <v>4.2864501495443941</v>
      </c>
      <c r="AO19">
        <f t="shared" si="20"/>
        <v>1.1309733552923249</v>
      </c>
      <c r="AP19">
        <f t="shared" si="12"/>
        <v>-3.3804504317269348</v>
      </c>
      <c r="AQ19">
        <f t="shared" si="13"/>
        <v>0.14844141686985346</v>
      </c>
      <c r="AR19">
        <f t="shared" si="19"/>
        <v>0.62831853071795829</v>
      </c>
      <c r="AS19">
        <f t="shared" si="14"/>
        <v>-2.7463668313798424</v>
      </c>
      <c r="AT19">
        <f t="shared" si="15"/>
        <v>-0.61803398874989535</v>
      </c>
      <c r="AV19">
        <f t="shared" si="21"/>
        <v>1.7592918860102837</v>
      </c>
      <c r="AW19">
        <f t="shared" si="16"/>
        <v>-2.2751814107007879</v>
      </c>
      <c r="AX19">
        <f t="shared" si="17"/>
        <v>1.442238683810704</v>
      </c>
      <c r="BE19" t="s">
        <v>47</v>
      </c>
    </row>
    <row r="20" spans="1:71">
      <c r="A20">
        <f t="shared" si="22"/>
        <v>0.11349964933003312</v>
      </c>
      <c r="E20" t="s">
        <v>166</v>
      </c>
      <c r="H20" t="s">
        <v>171</v>
      </c>
      <c r="I20">
        <f>IF(M2&lt;0,F24*COS(ATAN(-1/M2)),-F24*COS(ATAN(-1/M2)))</f>
        <v>13.119365219282832</v>
      </c>
      <c r="L20" t="s">
        <v>115</v>
      </c>
      <c r="Z20">
        <f t="shared" si="2"/>
        <v>-2.6075219024795313</v>
      </c>
      <c r="AA20">
        <f t="shared" si="9"/>
        <v>17</v>
      </c>
      <c r="AB20">
        <f t="shared" si="0"/>
        <v>-2.6200365701594777</v>
      </c>
      <c r="AC20">
        <f t="shared" si="3"/>
        <v>6.9628986498027456E-2</v>
      </c>
      <c r="AD20">
        <f t="shared" si="4"/>
        <v>-3.1290779859098463</v>
      </c>
      <c r="AE20">
        <f t="shared" si="1"/>
        <v>-6.9628986498028178E-2</v>
      </c>
      <c r="AF20">
        <f t="shared" si="10"/>
        <v>0.53407075111026481</v>
      </c>
      <c r="AG20">
        <f t="shared" si="18"/>
        <v>-1.1309733552923242</v>
      </c>
      <c r="AH20">
        <f t="shared" si="5"/>
        <v>-2.2305713070095243</v>
      </c>
      <c r="AI20">
        <f t="shared" si="6"/>
        <v>-0.95241352623300946</v>
      </c>
      <c r="AJ20">
        <f t="shared" si="11"/>
        <v>1.1349964933003314</v>
      </c>
      <c r="AK20">
        <f t="shared" si="7"/>
        <v>-1.2394859458594918</v>
      </c>
      <c r="AL20">
        <f t="shared" si="8"/>
        <v>4.4784229663847954</v>
      </c>
      <c r="AO20">
        <f t="shared" si="20"/>
        <v>1.0995574287564269</v>
      </c>
      <c r="AP20">
        <f t="shared" si="12"/>
        <v>-3.3528093751716317</v>
      </c>
      <c r="AQ20">
        <f t="shared" si="13"/>
        <v>9.201900052090517E-2</v>
      </c>
      <c r="AR20">
        <f t="shared" si="19"/>
        <v>0.61086523819801497</v>
      </c>
      <c r="AS20">
        <f t="shared" si="14"/>
        <v>-2.7179491994969882</v>
      </c>
      <c r="AT20">
        <f t="shared" si="15"/>
        <v>-0.63830408857798404</v>
      </c>
      <c r="AV20">
        <f t="shared" si="21"/>
        <v>1.8849555921538754</v>
      </c>
      <c r="AW20">
        <f t="shared" si="16"/>
        <v>-2.4140578532870922</v>
      </c>
      <c r="AX20">
        <f t="shared" si="17"/>
        <v>1.4065812738714272</v>
      </c>
      <c r="BE20" t="s">
        <v>48</v>
      </c>
    </row>
    <row r="21" spans="1:71">
      <c r="A21">
        <f t="shared" si="22"/>
        <v>0.12768710549628726</v>
      </c>
      <c r="E21" t="s">
        <v>167</v>
      </c>
      <c r="H21" t="s">
        <v>172</v>
      </c>
      <c r="I21">
        <f>IF(M2&lt;0,F24*SIN(ATAN(-1/M2)),-F24*SIN(ATAN(-1/M2)))</f>
        <v>11.008454516780262</v>
      </c>
      <c r="L21" t="s">
        <v>116</v>
      </c>
      <c r="Z21">
        <f t="shared" si="2"/>
        <v>-2.5761059759436336</v>
      </c>
      <c r="AA21">
        <f t="shared" si="9"/>
        <v>18</v>
      </c>
      <c r="AB21">
        <f t="shared" si="0"/>
        <v>-2.5909359172772164</v>
      </c>
      <c r="AC21">
        <f t="shared" si="3"/>
        <v>7.783603724899163E-2</v>
      </c>
      <c r="AD21">
        <f t="shared" si="4"/>
        <v>-3.1267627122562098</v>
      </c>
      <c r="AE21">
        <f t="shared" si="1"/>
        <v>-7.7836037248992462E-2</v>
      </c>
      <c r="AF21">
        <f t="shared" si="10"/>
        <v>0.56548667764616278</v>
      </c>
      <c r="AG21">
        <f t="shared" si="18"/>
        <v>-1.0053096491487326</v>
      </c>
      <c r="AH21">
        <f t="shared" si="5"/>
        <v>-2.1755475553025625</v>
      </c>
      <c r="AI21">
        <f t="shared" si="6"/>
        <v>-0.9221639627510072</v>
      </c>
      <c r="AJ21">
        <f t="shared" si="11"/>
        <v>1.2059337741316021</v>
      </c>
      <c r="AK21">
        <f t="shared" si="7"/>
        <v>-1.3651011932745087</v>
      </c>
      <c r="AL21">
        <f t="shared" si="8"/>
        <v>4.6440865189718883</v>
      </c>
      <c r="AO21">
        <f t="shared" si="20"/>
        <v>1.0681415022205289</v>
      </c>
      <c r="AP21">
        <f t="shared" si="12"/>
        <v>-3.3234096868826231</v>
      </c>
      <c r="AQ21">
        <f t="shared" si="13"/>
        <v>3.6492651796568132E-2</v>
      </c>
      <c r="AR21">
        <f t="shared" si="19"/>
        <v>0.59341194567807165</v>
      </c>
      <c r="AS21">
        <f t="shared" si="14"/>
        <v>-2.6891821337363897</v>
      </c>
      <c r="AT21">
        <f t="shared" si="15"/>
        <v>-0.65807514511008391</v>
      </c>
      <c r="AV21">
        <f t="shared" si="21"/>
        <v>2.0106192982974673</v>
      </c>
      <c r="AW21">
        <f t="shared" si="16"/>
        <v>-2.5473701551550034</v>
      </c>
      <c r="AX21">
        <f t="shared" si="17"/>
        <v>1.3537991996446244</v>
      </c>
      <c r="BE21" t="s">
        <v>49</v>
      </c>
    </row>
    <row r="22" spans="1:71">
      <c r="A22">
        <f t="shared" si="22"/>
        <v>0.14187456166254139</v>
      </c>
      <c r="E22" t="s">
        <v>168</v>
      </c>
      <c r="F22">
        <f>-Aktina*(1-COS(arxikiGon))</f>
        <v>-0.11697777844051099</v>
      </c>
      <c r="L22" t="s">
        <v>117</v>
      </c>
      <c r="Z22">
        <f t="shared" si="2"/>
        <v>-2.5446900494077358</v>
      </c>
      <c r="AA22">
        <f t="shared" si="9"/>
        <v>19</v>
      </c>
      <c r="AB22">
        <f t="shared" si="0"/>
        <v>-2.5620996625727006</v>
      </c>
      <c r="AC22">
        <f t="shared" si="3"/>
        <v>8.6459712862718141E-2</v>
      </c>
      <c r="AD22">
        <f t="shared" si="4"/>
        <v>-3.1241830404248279</v>
      </c>
      <c r="AE22">
        <f t="shared" si="1"/>
        <v>-8.6459712862719085E-2</v>
      </c>
      <c r="AF22">
        <f t="shared" si="10"/>
        <v>0.59690260418206076</v>
      </c>
      <c r="AG22">
        <f t="shared" si="18"/>
        <v>-0.87964594300514087</v>
      </c>
      <c r="AH22">
        <f t="shared" si="5"/>
        <v>-2.1247489579177161</v>
      </c>
      <c r="AI22">
        <f t="shared" si="6"/>
        <v>-0.88525662138789429</v>
      </c>
      <c r="AJ22">
        <f t="shared" si="11"/>
        <v>1.2768710549628728</v>
      </c>
      <c r="AK22">
        <f t="shared" si="7"/>
        <v>-1.4571031187999923</v>
      </c>
      <c r="AL22">
        <f t="shared" si="8"/>
        <v>4.7740027059237873</v>
      </c>
      <c r="AO22">
        <f t="shared" si="20"/>
        <v>1.036725575684631</v>
      </c>
      <c r="AP22">
        <f t="shared" si="12"/>
        <v>-3.292280380802783</v>
      </c>
      <c r="AQ22">
        <f t="shared" si="13"/>
        <v>-1.8082831500743968E-2</v>
      </c>
      <c r="AR22">
        <f t="shared" si="19"/>
        <v>0.57595865315812833</v>
      </c>
      <c r="AS22">
        <f t="shared" si="14"/>
        <v>-2.6600743968249501</v>
      </c>
      <c r="AT22">
        <f t="shared" si="15"/>
        <v>-0.67734113589084854</v>
      </c>
      <c r="AV22">
        <f t="shared" si="21"/>
        <v>2.1362830044410592</v>
      </c>
      <c r="AW22">
        <f t="shared" si="16"/>
        <v>-2.6730159016671551</v>
      </c>
      <c r="AX22">
        <f t="shared" si="17"/>
        <v>1.2847248659713353</v>
      </c>
      <c r="BE22" t="s">
        <v>50</v>
      </c>
    </row>
    <row r="23" spans="1:71">
      <c r="A23">
        <f t="shared" si="22"/>
        <v>0.15606201782879553</v>
      </c>
      <c r="E23" t="s">
        <v>169</v>
      </c>
      <c r="F23">
        <f>g*(Yarxiko-N3)</f>
        <v>2.9047114182976621</v>
      </c>
      <c r="H23" t="s">
        <v>177</v>
      </c>
      <c r="L23" t="s">
        <v>118</v>
      </c>
      <c r="Z23">
        <f t="shared" si="2"/>
        <v>-2.513274122871838</v>
      </c>
      <c r="AA23">
        <f t="shared" si="9"/>
        <v>20</v>
      </c>
      <c r="AB23">
        <f t="shared" si="0"/>
        <v>-2.5335407620845802</v>
      </c>
      <c r="AC23">
        <f t="shared" si="3"/>
        <v>9.5491502812525275E-2</v>
      </c>
      <c r="AD23">
        <f t="shared" si="4"/>
        <v>-3.1213260143770505</v>
      </c>
      <c r="AE23">
        <f t="shared" si="1"/>
        <v>-9.549150281252633E-2</v>
      </c>
      <c r="AF23">
        <f t="shared" si="10"/>
        <v>0.62831853071795873</v>
      </c>
      <c r="AG23">
        <f t="shared" si="18"/>
        <v>-0.75398223686154919</v>
      </c>
      <c r="AH23">
        <f t="shared" si="5"/>
        <v>-2.0789766390813549</v>
      </c>
      <c r="AI23">
        <f t="shared" si="6"/>
        <v>-0.84227355296434392</v>
      </c>
      <c r="AJ23">
        <f t="shared" si="11"/>
        <v>1.3478083357941435</v>
      </c>
      <c r="AK23">
        <f t="shared" si="7"/>
        <v>-1.5132263296926194</v>
      </c>
      <c r="AL23">
        <f t="shared" si="8"/>
        <v>4.8578281355949517</v>
      </c>
      <c r="AO23">
        <f t="shared" si="20"/>
        <v>1.005309649148733</v>
      </c>
      <c r="AP23">
        <f t="shared" si="12"/>
        <v>-3.2594521777989258</v>
      </c>
      <c r="AQ23">
        <f t="shared" si="13"/>
        <v>-7.1653589957994646E-2</v>
      </c>
      <c r="AR23">
        <f t="shared" si="19"/>
        <v>0.55850536063818501</v>
      </c>
      <c r="AS23">
        <f t="shared" si="14"/>
        <v>-2.6306348552613059</v>
      </c>
      <c r="AT23">
        <f t="shared" si="15"/>
        <v>-0.69609619231285236</v>
      </c>
      <c r="AV23">
        <f t="shared" si="21"/>
        <v>2.2619467105846511</v>
      </c>
      <c r="AW23">
        <f t="shared" si="16"/>
        <v>-2.7890135843439205</v>
      </c>
      <c r="AX23">
        <f t="shared" si="17"/>
        <v>1.2004476163565947</v>
      </c>
    </row>
    <row r="24" spans="1:71">
      <c r="A24">
        <f t="shared" si="22"/>
        <v>0.17024947399504967</v>
      </c>
      <c r="E24" t="s">
        <v>165</v>
      </c>
      <c r="F24">
        <f>mass*F23/V11+F18</f>
        <v>17.126114988664177</v>
      </c>
      <c r="L24" t="s">
        <v>114</v>
      </c>
      <c r="Z24">
        <f t="shared" si="2"/>
        <v>-2.4818581963359403</v>
      </c>
      <c r="AA24">
        <f t="shared" si="9"/>
        <v>21</v>
      </c>
      <c r="AB24">
        <f t="shared" si="0"/>
        <v>-2.50527189813638</v>
      </c>
      <c r="AC24">
        <f t="shared" si="3"/>
        <v>0.10492249381215368</v>
      </c>
      <c r="AD24">
        <f t="shared" si="4"/>
        <v>-3.118178951789353</v>
      </c>
      <c r="AE24">
        <f t="shared" si="1"/>
        <v>-0.10492249381215485</v>
      </c>
      <c r="AF24">
        <f t="shared" si="10"/>
        <v>0.65973445725385671</v>
      </c>
      <c r="AG24">
        <f t="shared" si="18"/>
        <v>-0.62831853071795751</v>
      </c>
      <c r="AH24">
        <f t="shared" si="5"/>
        <v>-2.038952455604587</v>
      </c>
      <c r="AI24">
        <f t="shared" si="6"/>
        <v>-0.79389262614623612</v>
      </c>
      <c r="AJ24">
        <f t="shared" si="11"/>
        <v>1.4187456166254142</v>
      </c>
      <c r="AK24">
        <f t="shared" si="7"/>
        <v>-1.532088886237956</v>
      </c>
      <c r="AL24">
        <f t="shared" si="8"/>
        <v>4.8869219055841224</v>
      </c>
      <c r="AO24">
        <f t="shared" si="20"/>
        <v>0.97389372261283502</v>
      </c>
      <c r="AP24">
        <f t="shared" si="12"/>
        <v>-3.2249574753440191</v>
      </c>
      <c r="AQ24">
        <f t="shared" si="13"/>
        <v>-0.12416675570426272</v>
      </c>
      <c r="AR24">
        <f t="shared" si="19"/>
        <v>0.54105206811824169</v>
      </c>
      <c r="AS24">
        <f t="shared" si="14"/>
        <v>-2.6008724766150042</v>
      </c>
      <c r="AT24">
        <f t="shared" si="15"/>
        <v>-0.71433460140422511</v>
      </c>
      <c r="AV24">
        <f t="shared" si="21"/>
        <v>2.387610416728243</v>
      </c>
      <c r="AW24">
        <f t="shared" si="16"/>
        <v>-2.893533850435829</v>
      </c>
      <c r="AX24">
        <f t="shared" si="17"/>
        <v>1.1022965533716156</v>
      </c>
      <c r="BE24" t="s">
        <v>51</v>
      </c>
    </row>
    <row r="25" spans="1:71">
      <c r="A25">
        <f t="shared" si="22"/>
        <v>0.1844369301613038</v>
      </c>
      <c r="E25" t="s">
        <v>170</v>
      </c>
      <c r="F25">
        <f>mass*g</f>
        <v>19.613299999999999</v>
      </c>
      <c r="Z25">
        <f t="shared" si="2"/>
        <v>-2.4504422698000425</v>
      </c>
      <c r="AA25">
        <f t="shared" si="9"/>
        <v>22</v>
      </c>
      <c r="AB25">
        <f t="shared" si="0"/>
        <v>-2.4773054668205745</v>
      </c>
      <c r="AC25">
        <f t="shared" si="3"/>
        <v>0.11474337861210415</v>
      </c>
      <c r="AD25">
        <f t="shared" si="4"/>
        <v>-3.1147294565692607</v>
      </c>
      <c r="AE25">
        <f t="shared" si="1"/>
        <v>-0.11474337861210543</v>
      </c>
      <c r="AF25">
        <f t="shared" si="10"/>
        <v>0.69115038378975469</v>
      </c>
      <c r="AG25">
        <f t="shared" si="18"/>
        <v>-0.50265482457436583</v>
      </c>
      <c r="AH25">
        <f t="shared" si="5"/>
        <v>-2.005307612770129</v>
      </c>
      <c r="AI25">
        <f t="shared" si="6"/>
        <v>-0.74087683705085716</v>
      </c>
      <c r="AJ25">
        <f t="shared" si="11"/>
        <v>1.4896828974566849</v>
      </c>
      <c r="AK25">
        <f t="shared" si="7"/>
        <v>-1.5132263296926196</v>
      </c>
      <c r="AL25">
        <f t="shared" si="8"/>
        <v>4.8578281355949517</v>
      </c>
      <c r="AO25">
        <f t="shared" si="20"/>
        <v>0.94247779607693705</v>
      </c>
      <c r="AP25">
        <f t="shared" si="12"/>
        <v>-3.1888303155447906</v>
      </c>
      <c r="AQ25">
        <f t="shared" si="13"/>
        <v>-0.17557050458494783</v>
      </c>
      <c r="AR25">
        <f t="shared" si="19"/>
        <v>0.52359877559829837</v>
      </c>
      <c r="AS25">
        <f t="shared" si="14"/>
        <v>-2.5707963267948957</v>
      </c>
      <c r="AT25">
        <f t="shared" si="15"/>
        <v>-0.73205080756887786</v>
      </c>
      <c r="AV25">
        <f t="shared" si="21"/>
        <v>2.5132741228718349</v>
      </c>
      <c r="AW25">
        <f t="shared" si="16"/>
        <v>-2.9849283529092321</v>
      </c>
      <c r="AX25">
        <f t="shared" si="17"/>
        <v>0.99181957791227404</v>
      </c>
      <c r="BE25" t="s">
        <v>52</v>
      </c>
    </row>
    <row r="26" spans="1:71">
      <c r="A26">
        <f t="shared" si="22"/>
        <v>0.19862438632755794</v>
      </c>
      <c r="E26">
        <f>I20/15</f>
        <v>0.8746243479521888</v>
      </c>
      <c r="F26">
        <f>I21/15</f>
        <v>0.73389696778535074</v>
      </c>
      <c r="H26">
        <f>0</f>
        <v>0</v>
      </c>
      <c r="I26">
        <f>-F25/15</f>
        <v>-1.3075533333333333</v>
      </c>
      <c r="L26" t="s">
        <v>123</v>
      </c>
      <c r="Z26">
        <f t="shared" si="2"/>
        <v>-2.4190263432641448</v>
      </c>
      <c r="AA26">
        <f t="shared" si="9"/>
        <v>23</v>
      </c>
      <c r="AB26">
        <f t="shared" si="0"/>
        <v>-2.4496535657651446</v>
      </c>
      <c r="AC26">
        <f t="shared" si="3"/>
        <v>0.12494446518476893</v>
      </c>
      <c r="AD26">
        <f t="shared" si="4"/>
        <v>-3.1109654310887929</v>
      </c>
      <c r="AE26">
        <f t="shared" si="1"/>
        <v>-0.12494446518477031</v>
      </c>
      <c r="AF26">
        <f t="shared" si="10"/>
        <v>0.72256631032565266</v>
      </c>
      <c r="AG26">
        <f t="shared" si="18"/>
        <v>-0.3769911184307741</v>
      </c>
      <c r="AH26">
        <f t="shared" si="5"/>
        <v>-1.9785727098479353</v>
      </c>
      <c r="AI26">
        <f t="shared" si="6"/>
        <v>-0.68406227634233852</v>
      </c>
      <c r="AJ26">
        <f t="shared" si="11"/>
        <v>1.5606201782879556</v>
      </c>
      <c r="AK26">
        <f t="shared" si="7"/>
        <v>-1.4571031187999923</v>
      </c>
      <c r="AL26">
        <f t="shared" si="8"/>
        <v>4.7740027059237873</v>
      </c>
      <c r="AO26">
        <f t="shared" si="20"/>
        <v>0.91106186954103907</v>
      </c>
      <c r="AP26">
        <f t="shared" si="12"/>
        <v>-3.1511063515462761</v>
      </c>
      <c r="AQ26">
        <f t="shared" si="13"/>
        <v>-0.22581410730595453</v>
      </c>
      <c r="AR26">
        <f t="shared" si="19"/>
        <v>0.50614548307835505</v>
      </c>
      <c r="AS26">
        <f t="shared" si="14"/>
        <v>-2.5404155672875697</v>
      </c>
      <c r="AT26">
        <f t="shared" si="15"/>
        <v>-0.74923941427879215</v>
      </c>
      <c r="AV26">
        <f t="shared" si="21"/>
        <v>2.6389378290154268</v>
      </c>
      <c r="AW26">
        <f t="shared" si="16"/>
        <v>-3.0617557458636941</v>
      </c>
      <c r="AX26">
        <f t="shared" si="17"/>
        <v>0.87075897787731016</v>
      </c>
      <c r="BE26" t="s">
        <v>53</v>
      </c>
    </row>
    <row r="27" spans="1:71">
      <c r="A27">
        <f t="shared" si="22"/>
        <v>0.21281184249381208</v>
      </c>
      <c r="E27" t="s">
        <v>171</v>
      </c>
      <c r="F27" t="s">
        <v>172</v>
      </c>
      <c r="H27" t="s">
        <v>173</v>
      </c>
      <c r="I27" t="s">
        <v>174</v>
      </c>
      <c r="L27" t="s">
        <v>124</v>
      </c>
      <c r="Z27">
        <f t="shared" si="2"/>
        <v>-2.387610416728247</v>
      </c>
      <c r="AA27">
        <f t="shared" si="9"/>
        <v>24</v>
      </c>
      <c r="AB27">
        <f t="shared" si="0"/>
        <v>-2.4223279821946773</v>
      </c>
      <c r="AC27">
        <f t="shared" si="3"/>
        <v>0.13551568628929284</v>
      </c>
      <c r="AD27">
        <f t="shared" si="4"/>
        <v>-3.1068750881233624</v>
      </c>
      <c r="AE27">
        <f t="shared" si="1"/>
        <v>-0.13551568628929433</v>
      </c>
      <c r="AF27">
        <f t="shared" si="10"/>
        <v>0.75398223686155064</v>
      </c>
      <c r="AG27">
        <f t="shared" si="18"/>
        <v>-0.25132741228718236</v>
      </c>
      <c r="AH27">
        <f t="shared" si="5"/>
        <v>-1.9591693722277455</v>
      </c>
      <c r="AI27">
        <f t="shared" si="6"/>
        <v>-0.62434494358242687</v>
      </c>
      <c r="AJ27">
        <f t="shared" si="11"/>
        <v>1.6315574591192263</v>
      </c>
      <c r="AK27">
        <f t="shared" si="7"/>
        <v>-1.3651011932745087</v>
      </c>
      <c r="AL27">
        <f t="shared" si="8"/>
        <v>4.6440865189718883</v>
      </c>
      <c r="AO27">
        <f t="shared" si="20"/>
        <v>0.8796459430051411</v>
      </c>
      <c r="AP27">
        <f t="shared" si="12"/>
        <v>-3.1118228123464737</v>
      </c>
      <c r="AQ27">
        <f t="shared" si="13"/>
        <v>-0.27484797949738105</v>
      </c>
      <c r="AR27">
        <f t="shared" si="19"/>
        <v>0.48869219055841173</v>
      </c>
      <c r="AS27">
        <f t="shared" si="14"/>
        <v>-2.5097394523666772</v>
      </c>
      <c r="AT27">
        <f t="shared" si="15"/>
        <v>-0.76589518571785442</v>
      </c>
      <c r="AV27">
        <f t="shared" si="21"/>
        <v>2.7646015351590187</v>
      </c>
      <c r="AW27">
        <f t="shared" si="16"/>
        <v>-3.1228044154178627</v>
      </c>
      <c r="AX27">
        <f t="shared" si="17"/>
        <v>0.7410239512473723</v>
      </c>
      <c r="BE27" t="s">
        <v>54</v>
      </c>
    </row>
    <row r="28" spans="1:71">
      <c r="A28">
        <f t="shared" si="22"/>
        <v>0.22699929866006621</v>
      </c>
      <c r="B28" t="s">
        <v>204</v>
      </c>
      <c r="C28">
        <f>SQRT((E28-E29)^2+(F28-F29)^2)</f>
        <v>1.1417409992442784</v>
      </c>
      <c r="E28" s="3">
        <f>N2</f>
        <v>-2.9358648292981653</v>
      </c>
      <c r="F28" s="3">
        <f>N3</f>
        <v>-0.4131759111665349</v>
      </c>
      <c r="H28" s="3">
        <f>E28</f>
        <v>-2.9358648292981653</v>
      </c>
      <c r="I28" s="3">
        <f>F28</f>
        <v>-0.4131759111665349</v>
      </c>
      <c r="Z28">
        <f t="shared" si="2"/>
        <v>-2.3561944901923493</v>
      </c>
      <c r="AA28">
        <f t="shared" si="9"/>
        <v>25</v>
      </c>
      <c r="AB28">
        <f t="shared" si="0"/>
        <v>-2.395340181297799</v>
      </c>
      <c r="AC28">
        <f t="shared" si="3"/>
        <v>0.14644660940672471</v>
      </c>
      <c r="AD28">
        <f t="shared" si="4"/>
        <v>-3.1024469624843425</v>
      </c>
      <c r="AE28">
        <f t="shared" si="1"/>
        <v>-0.14644660940672632</v>
      </c>
      <c r="AF28">
        <f t="shared" si="10"/>
        <v>0.78539816339744861</v>
      </c>
      <c r="AG28">
        <f t="shared" si="18"/>
        <v>-0.12566370614359063</v>
      </c>
      <c r="AH28">
        <f t="shared" si="5"/>
        <v>-1.9474036021348222</v>
      </c>
      <c r="AI28">
        <f t="shared" si="6"/>
        <v>-0.56266661678215157</v>
      </c>
      <c r="AJ28">
        <f t="shared" si="11"/>
        <v>1.702494739950497</v>
      </c>
      <c r="AK28">
        <f t="shared" si="7"/>
        <v>-1.2394859458594922</v>
      </c>
      <c r="AL28">
        <f t="shared" si="8"/>
        <v>4.4784229663847963</v>
      </c>
      <c r="AO28">
        <f t="shared" si="20"/>
        <v>0.84823001646924312</v>
      </c>
      <c r="AP28">
        <f t="shared" si="12"/>
        <v>-3.071018466055814</v>
      </c>
      <c r="AQ28">
        <f t="shared" si="13"/>
        <v>-0.32262373064730543</v>
      </c>
      <c r="AR28">
        <f t="shared" si="19"/>
        <v>0.47123889803846841</v>
      </c>
      <c r="AS28">
        <f t="shared" si="14"/>
        <v>-2.4787773262739892</v>
      </c>
      <c r="AT28">
        <f t="shared" si="15"/>
        <v>-0.78201304837673624</v>
      </c>
      <c r="AV28">
        <f t="shared" si="21"/>
        <v>2.8902652413026106</v>
      </c>
      <c r="AW28">
        <f t="shared" si="16"/>
        <v>-3.167111587584162</v>
      </c>
      <c r="AX28">
        <f t="shared" si="17"/>
        <v>0.60466049689236301</v>
      </c>
      <c r="BE28" t="s">
        <v>55</v>
      </c>
    </row>
    <row r="29" spans="1:71">
      <c r="A29">
        <f t="shared" si="22"/>
        <v>0.24118675482632035</v>
      </c>
      <c r="C29">
        <f>aktinakamp</f>
        <v>1.2855752193730787</v>
      </c>
      <c r="E29" s="4">
        <f t="shared" ref="E29:I29" si="23">E28+E26</f>
        <v>-2.0612404813459766</v>
      </c>
      <c r="F29" s="4">
        <f t="shared" si="23"/>
        <v>0.32072105661881584</v>
      </c>
      <c r="H29" s="4">
        <f t="shared" si="23"/>
        <v>-2.9358648292981653</v>
      </c>
      <c r="I29" s="4">
        <f t="shared" si="23"/>
        <v>-1.7207292444998683</v>
      </c>
      <c r="Z29">
        <f t="shared" si="2"/>
        <v>-2.3247785636564515</v>
      </c>
      <c r="AA29">
        <f t="shared" si="9"/>
        <v>26</v>
      </c>
      <c r="AB29">
        <f t="shared" si="0"/>
        <v>-2.3687012949124182</v>
      </c>
      <c r="AC29">
        <f t="shared" si="3"/>
        <v>0.15772644703565403</v>
      </c>
      <c r="AD29">
        <f t="shared" si="4"/>
        <v>-3.0976699223338255</v>
      </c>
      <c r="AE29">
        <f t="shared" si="1"/>
        <v>-0.1577264470356558</v>
      </c>
      <c r="AF29">
        <f t="shared" si="10"/>
        <v>0.81681408993334659</v>
      </c>
      <c r="AG29">
        <f t="shared" si="18"/>
        <v>1.1102230246251565E-15</v>
      </c>
      <c r="AH29">
        <f t="shared" si="5"/>
        <v>-1.9434609527920612</v>
      </c>
      <c r="AI29">
        <f t="shared" si="6"/>
        <v>-0.49999999999999944</v>
      </c>
      <c r="AJ29">
        <f t="shared" si="11"/>
        <v>1.7734320207817678</v>
      </c>
      <c r="AK29">
        <f t="shared" si="7"/>
        <v>-1.0833504408394039</v>
      </c>
      <c r="AL29">
        <f t="shared" si="8"/>
        <v>4.286450149544395</v>
      </c>
      <c r="AO29">
        <f t="shared" si="20"/>
        <v>0.81681408993334514</v>
      </c>
      <c r="AP29">
        <f t="shared" si="12"/>
        <v>-3.0287335816377183</v>
      </c>
      <c r="AQ29">
        <f t="shared" si="13"/>
        <v>-0.36909421185737901</v>
      </c>
      <c r="AR29">
        <f t="shared" si="19"/>
        <v>0.45378560551852509</v>
      </c>
      <c r="AS29">
        <f t="shared" si="14"/>
        <v>-2.4475386203730505</v>
      </c>
      <c r="AT29">
        <f t="shared" si="15"/>
        <v>-0.79758809259833452</v>
      </c>
      <c r="AV29">
        <f t="shared" si="21"/>
        <v>3.0159289474462025</v>
      </c>
      <c r="AW29">
        <f t="shared" si="16"/>
        <v>-3.1939785117897075</v>
      </c>
      <c r="AX29">
        <f t="shared" si="17"/>
        <v>0.46381914794703993</v>
      </c>
      <c r="BE29" t="s">
        <v>56</v>
      </c>
    </row>
    <row r="30" spans="1:71">
      <c r="A30">
        <f t="shared" si="22"/>
        <v>0.25537421099257451</v>
      </c>
      <c r="E30" s="5">
        <f>-1/20*F26+18/20*E26+E28</f>
        <v>-2.185397764530463</v>
      </c>
      <c r="F30" s="5">
        <f>1/20*E26+18/20*F26+F28</f>
        <v>0.29106257723789025</v>
      </c>
      <c r="H30" s="5">
        <f>-1/20*I26+18/20*H26+H28</f>
        <v>-2.8704871626314987</v>
      </c>
      <c r="I30" s="5">
        <f>1/20*H26+18/20*I26+I28</f>
        <v>-1.589973911166535</v>
      </c>
      <c r="Z30">
        <f t="shared" si="2"/>
        <v>-2.2933626371205538</v>
      </c>
      <c r="AA30">
        <f t="shared" si="9"/>
        <v>27</v>
      </c>
      <c r="AB30">
        <f t="shared" si="0"/>
        <v>-2.3424221105399452</v>
      </c>
      <c r="AC30">
        <f t="shared" si="3"/>
        <v>0.16934406733817231</v>
      </c>
      <c r="AD30">
        <f t="shared" si="4"/>
        <v>-3.0925331801704008</v>
      </c>
      <c r="AE30">
        <f t="shared" si="1"/>
        <v>-0.1693440673381742</v>
      </c>
      <c r="AF30">
        <f t="shared" si="10"/>
        <v>0.84823001646924456</v>
      </c>
      <c r="AG30">
        <f t="shared" si="18"/>
        <v>0.12566370614359285</v>
      </c>
      <c r="AH30">
        <f t="shared" si="5"/>
        <v>-1.9474036021348224</v>
      </c>
      <c r="AI30">
        <f t="shared" si="6"/>
        <v>-0.43733338321784732</v>
      </c>
      <c r="AJ30">
        <f t="shared" si="11"/>
        <v>1.8443693016130385</v>
      </c>
      <c r="AK30">
        <f t="shared" si="7"/>
        <v>-0.90053925253187128</v>
      </c>
      <c r="AL30">
        <f t="shared" si="8"/>
        <v>4.0757272245434688</v>
      </c>
      <c r="AO30">
        <f t="shared" si="20"/>
        <v>0.78539816339744717</v>
      </c>
      <c r="AP30">
        <f t="shared" si="12"/>
        <v>-2.9850098891679897</v>
      </c>
      <c r="AQ30">
        <f t="shared" si="13"/>
        <v>-0.4142135623730967</v>
      </c>
      <c r="AR30">
        <f t="shared" si="19"/>
        <v>0.43633231299858177</v>
      </c>
      <c r="AS30">
        <f t="shared" si="14"/>
        <v>-2.4160328502762942</v>
      </c>
      <c r="AT30">
        <f t="shared" si="15"/>
        <v>-0.81261557407330054</v>
      </c>
      <c r="AV30">
        <f t="shared" si="21"/>
        <v>3.1415926535897944</v>
      </c>
      <c r="AW30">
        <f t="shared" si="16"/>
        <v>-3.202981480590255</v>
      </c>
      <c r="AX30">
        <f t="shared" si="17"/>
        <v>0.32072105661881445</v>
      </c>
      <c r="BE30" t="s">
        <v>57</v>
      </c>
    </row>
    <row r="31" spans="1:71">
      <c r="A31">
        <f t="shared" si="22"/>
        <v>0.26956166715882868</v>
      </c>
      <c r="E31" s="5">
        <f>1/20*F26+18/20*E26+E28</f>
        <v>-2.112008067751928</v>
      </c>
      <c r="F31" s="5">
        <f>-1/20*E26+18/20*F26+F28</f>
        <v>0.20360014244267138</v>
      </c>
      <c r="H31" s="5">
        <f>1/20*I26+18/20*H26+H28</f>
        <v>-3.0012424959648318</v>
      </c>
      <c r="I31" s="5">
        <f>-1/20*H26+18/20*I26+I28</f>
        <v>-1.589973911166535</v>
      </c>
      <c r="Z31">
        <f t="shared" si="2"/>
        <v>-2.261946710584656</v>
      </c>
      <c r="AA31">
        <f t="shared" si="9"/>
        <v>28</v>
      </c>
      <c r="AB31">
        <f t="shared" si="0"/>
        <v>-2.3165130606993314</v>
      </c>
      <c r="AC31">
        <f t="shared" si="3"/>
        <v>0.18128800512565324</v>
      </c>
      <c r="AD31">
        <f t="shared" si="4"/>
        <v>-3.0870263034751164</v>
      </c>
      <c r="AE31">
        <f t="shared" si="1"/>
        <v>-0.18128800512565529</v>
      </c>
      <c r="AF31">
        <f t="shared" si="10"/>
        <v>0.87964594300514254</v>
      </c>
      <c r="AG31">
        <f t="shared" si="18"/>
        <v>0.25132741228718458</v>
      </c>
      <c r="AH31">
        <f t="shared" si="5"/>
        <v>-1.9591693722277457</v>
      </c>
      <c r="AI31">
        <f t="shared" si="6"/>
        <v>-0.37565505641757208</v>
      </c>
      <c r="AJ31">
        <f t="shared" si="11"/>
        <v>1.9153065824443092</v>
      </c>
      <c r="AK31">
        <f t="shared" si="7"/>
        <v>-0.69555379910857551</v>
      </c>
      <c r="AL31">
        <f t="shared" si="8"/>
        <v>3.8519905459739698</v>
      </c>
      <c r="AO31">
        <f t="shared" si="20"/>
        <v>0.75398223686154919</v>
      </c>
      <c r="AP31">
        <f t="shared" si="12"/>
        <v>-2.9398905386522722</v>
      </c>
      <c r="AQ31">
        <f t="shared" si="13"/>
        <v>-0.45793725484282466</v>
      </c>
      <c r="AR31">
        <f t="shared" si="19"/>
        <v>0.41887902047863845</v>
      </c>
      <c r="AS31">
        <f t="shared" si="14"/>
        <v>-2.384269612946496</v>
      </c>
      <c r="AT31">
        <f t="shared" si="15"/>
        <v>-0.8270909152852024</v>
      </c>
      <c r="AV31">
        <f t="shared" si="21"/>
        <v>3.2672563597333864</v>
      </c>
      <c r="AW31">
        <f t="shared" si="16"/>
        <v>-3.193978511789707</v>
      </c>
      <c r="AX31">
        <f t="shared" si="17"/>
        <v>0.17762296529058902</v>
      </c>
      <c r="BE31" t="s">
        <v>58</v>
      </c>
    </row>
    <row r="32" spans="1:71">
      <c r="A32">
        <f t="shared" si="22"/>
        <v>0.28374912332508284</v>
      </c>
      <c r="E32" s="6">
        <f t="shared" ref="E32:F32" si="24">E29</f>
        <v>-2.0612404813459766</v>
      </c>
      <c r="F32" s="6">
        <f t="shared" si="24"/>
        <v>0.32072105661881584</v>
      </c>
      <c r="H32" s="6">
        <f t="shared" ref="H32:I32" si="25">H29</f>
        <v>-2.9358648292981653</v>
      </c>
      <c r="I32" s="6">
        <f t="shared" si="25"/>
        <v>-1.7207292444998683</v>
      </c>
      <c r="Z32">
        <f t="shared" si="2"/>
        <v>-2.2305307840487583</v>
      </c>
      <c r="AA32">
        <f t="shared" si="9"/>
        <v>29</v>
      </c>
      <c r="AB32">
        <f t="shared" si="0"/>
        <v>-2.2909842126314319</v>
      </c>
      <c r="AC32">
        <f t="shared" si="3"/>
        <v>0.19354647317350976</v>
      </c>
      <c r="AD32">
        <f t="shared" si="4"/>
        <v>-3.0811392250071181</v>
      </c>
      <c r="AE32">
        <f t="shared" si="1"/>
        <v>-0.19354647317351192</v>
      </c>
      <c r="AF32">
        <f t="shared" si="10"/>
        <v>0.91106186954104051</v>
      </c>
      <c r="AG32">
        <f t="shared" si="18"/>
        <v>0.37699111843077632</v>
      </c>
      <c r="AH32">
        <f t="shared" si="5"/>
        <v>-1.9785727098479358</v>
      </c>
      <c r="AI32">
        <f t="shared" si="6"/>
        <v>-0.31593772365766049</v>
      </c>
      <c r="AJ32">
        <f t="shared" si="11"/>
        <v>1.9862438632755799</v>
      </c>
      <c r="AK32">
        <f t="shared" si="7"/>
        <v>-0.47344150274051411</v>
      </c>
      <c r="AL32">
        <f t="shared" si="8"/>
        <v>3.6195712072229247</v>
      </c>
      <c r="AO32">
        <f t="shared" si="20"/>
        <v>0.72256631032565122</v>
      </c>
      <c r="AP32">
        <f t="shared" si="12"/>
        <v>-2.8934200574421984</v>
      </c>
      <c r="AQ32">
        <f t="shared" si="13"/>
        <v>-0.50022213926092074</v>
      </c>
      <c r="AR32">
        <f t="shared" si="19"/>
        <v>0.40142572795869513</v>
      </c>
      <c r="AS32">
        <f t="shared" si="14"/>
        <v>-2.3522585837734429</v>
      </c>
      <c r="AT32">
        <f t="shared" si="15"/>
        <v>-0.84100970690488119</v>
      </c>
      <c r="AV32">
        <f t="shared" si="21"/>
        <v>3.3929200658769783</v>
      </c>
      <c r="AW32">
        <f t="shared" si="16"/>
        <v>-3.1671115875841611</v>
      </c>
      <c r="AX32">
        <f t="shared" si="17"/>
        <v>3.6781616345265944E-2</v>
      </c>
      <c r="BE32" t="s">
        <v>59</v>
      </c>
    </row>
    <row r="33" spans="1:57">
      <c r="A33">
        <f t="shared" si="22"/>
        <v>0.29793657949133701</v>
      </c>
      <c r="Z33">
        <f t="shared" si="2"/>
        <v>-2.1991148575128605</v>
      </c>
      <c r="AA33">
        <f t="shared" si="9"/>
        <v>30</v>
      </c>
      <c r="AB33">
        <f t="shared" si="0"/>
        <v>-2.2658452583638544</v>
      </c>
      <c r="AC33">
        <f t="shared" si="3"/>
        <v>0.20610737385376132</v>
      </c>
      <c r="AD33">
        <f t="shared" si="4"/>
        <v>-3.0748622527387979</v>
      </c>
      <c r="AE33">
        <f t="shared" si="1"/>
        <v>-0.20610737385376365</v>
      </c>
      <c r="AF33">
        <f t="shared" si="10"/>
        <v>0.94247779607693849</v>
      </c>
      <c r="AG33">
        <f t="shared" si="18"/>
        <v>0.50265482457436805</v>
      </c>
      <c r="AH33">
        <f t="shared" si="5"/>
        <v>-2.0053076127701299</v>
      </c>
      <c r="AI33">
        <f t="shared" si="6"/>
        <v>-0.25912316294914184</v>
      </c>
      <c r="AJ33">
        <f t="shared" si="11"/>
        <v>2.0571811441068508</v>
      </c>
      <c r="AK33">
        <f t="shared" si="7"/>
        <v>-0.23967150531271803</v>
      </c>
      <c r="AL33">
        <f t="shared" si="8"/>
        <v>3.3818415359830465</v>
      </c>
      <c r="AO33">
        <f t="shared" si="20"/>
        <v>0.69115038378975324</v>
      </c>
      <c r="AP33">
        <f t="shared" si="12"/>
        <v>-2.8456443062922743</v>
      </c>
      <c r="AQ33">
        <f t="shared" si="13"/>
        <v>-0.54102648555158006</v>
      </c>
      <c r="AR33">
        <f t="shared" si="19"/>
        <v>0.38397243543875181</v>
      </c>
      <c r="AS33">
        <f t="shared" si="14"/>
        <v>-2.3200095136267196</v>
      </c>
      <c r="AT33">
        <f t="shared" si="15"/>
        <v>-0.85436770913357529</v>
      </c>
      <c r="AV33">
        <f t="shared" si="21"/>
        <v>3.5185837720205702</v>
      </c>
      <c r="AW33">
        <f t="shared" si="16"/>
        <v>-3.1228044154178618</v>
      </c>
      <c r="AX33">
        <f t="shared" si="17"/>
        <v>-9.958183800974324E-2</v>
      </c>
      <c r="BE33" t="s">
        <v>60</v>
      </c>
    </row>
    <row r="34" spans="1:57">
      <c r="A34">
        <f t="shared" si="22"/>
        <v>0.31212403565759117</v>
      </c>
      <c r="H34">
        <f>H26+E26</f>
        <v>0.8746243479521888</v>
      </c>
      <c r="I34">
        <f>I26+F26</f>
        <v>-0.57365636554798261</v>
      </c>
      <c r="Z34">
        <f t="shared" si="2"/>
        <v>-2.1676989309769628</v>
      </c>
      <c r="AA34">
        <f t="shared" si="9"/>
        <v>31</v>
      </c>
      <c r="AB34">
        <f t="shared" si="0"/>
        <v>-2.2411055051460984</v>
      </c>
      <c r="AC34">
        <f t="shared" si="3"/>
        <v>0.21895831107393243</v>
      </c>
      <c r="AD34">
        <f t="shared" si="4"/>
        <v>-3.0681860794206561</v>
      </c>
      <c r="AE34">
        <f t="shared" si="1"/>
        <v>-0.21895831107393493</v>
      </c>
      <c r="AF34">
        <f t="shared" si="10"/>
        <v>0.97389372261283647</v>
      </c>
      <c r="AG34">
        <f t="shared" si="18"/>
        <v>0.62831853071795973</v>
      </c>
      <c r="AH34">
        <f t="shared" si="5"/>
        <v>-2.0389524556045879</v>
      </c>
      <c r="AI34">
        <f t="shared" si="6"/>
        <v>-0.20610737385376299</v>
      </c>
      <c r="AJ34">
        <f t="shared" si="11"/>
        <v>2.1281184249381218</v>
      </c>
      <c r="AK34">
        <f t="shared" si="7"/>
        <v>1.0792128360553877E-15</v>
      </c>
      <c r="AL34">
        <f t="shared" si="8"/>
        <v>3.1415926535897922</v>
      </c>
      <c r="AO34">
        <f t="shared" si="20"/>
        <v>0.65973445725385527</v>
      </c>
      <c r="AP34">
        <f t="shared" si="12"/>
        <v>-2.7966104341008475</v>
      </c>
      <c r="AQ34">
        <f t="shared" si="13"/>
        <v>-0.58031002475138238</v>
      </c>
      <c r="AR34">
        <f t="shared" si="19"/>
        <v>0.36651914291880849</v>
      </c>
      <c r="AS34">
        <f t="shared" si="14"/>
        <v>-2.2875322258854958</v>
      </c>
      <c r="AT34">
        <f t="shared" si="15"/>
        <v>-0.86716085299440393</v>
      </c>
      <c r="AV34">
        <f t="shared" si="21"/>
        <v>3.6442474781641621</v>
      </c>
      <c r="AW34">
        <f t="shared" si="16"/>
        <v>-3.0617557458636924</v>
      </c>
      <c r="AX34">
        <f t="shared" si="17"/>
        <v>-0.22931686463968087</v>
      </c>
      <c r="BE34" t="s">
        <v>61</v>
      </c>
    </row>
    <row r="35" spans="1:57">
      <c r="A35">
        <f t="shared" si="22"/>
        <v>0.32631149182384533</v>
      </c>
      <c r="H35" t="s">
        <v>175</v>
      </c>
      <c r="I35" t="s">
        <v>176</v>
      </c>
      <c r="Z35">
        <f t="shared" si="2"/>
        <v>-2.136283004441065</v>
      </c>
      <c r="AA35">
        <f t="shared" si="9"/>
        <v>32</v>
      </c>
      <c r="AB35">
        <f t="shared" si="0"/>
        <v>-2.2167738662644232</v>
      </c>
      <c r="AC35">
        <f t="shared" si="3"/>
        <v>0.23208660251049934</v>
      </c>
      <c r="AD35">
        <f t="shared" si="4"/>
        <v>-3.0611017917664336</v>
      </c>
      <c r="AE35">
        <f t="shared" si="1"/>
        <v>-0.23208660251050189</v>
      </c>
      <c r="AF35">
        <f t="shared" si="10"/>
        <v>1.0053096491487343</v>
      </c>
      <c r="AG35">
        <f t="shared" si="18"/>
        <v>0.75398223686155141</v>
      </c>
      <c r="AH35">
        <f t="shared" si="5"/>
        <v>-2.0789766390813558</v>
      </c>
      <c r="AI35">
        <f t="shared" si="6"/>
        <v>-0.1577264470356553</v>
      </c>
      <c r="AJ35">
        <f t="shared" si="11"/>
        <v>2.1990557057693927</v>
      </c>
      <c r="AK35">
        <f t="shared" si="7"/>
        <v>0.23967150531272016</v>
      </c>
      <c r="AL35">
        <f t="shared" si="8"/>
        <v>2.901343771196538</v>
      </c>
      <c r="AO35">
        <f t="shared" si="20"/>
        <v>0.62831853071795729</v>
      </c>
      <c r="AP35">
        <f t="shared" si="12"/>
        <v>-2.7463668313798406</v>
      </c>
      <c r="AQ35">
        <f t="shared" si="13"/>
        <v>-0.61803398874989646</v>
      </c>
      <c r="AR35">
        <f t="shared" si="19"/>
        <v>0.34906585039886517</v>
      </c>
      <c r="AS35">
        <f t="shared" si="14"/>
        <v>-2.2548366134462325</v>
      </c>
      <c r="AT35">
        <f t="shared" si="15"/>
        <v>-0.8793852415718173</v>
      </c>
      <c r="AV35">
        <f t="shared" si="21"/>
        <v>3.769911184307754</v>
      </c>
      <c r="AW35">
        <f t="shared" si="16"/>
        <v>-2.9849283529092303</v>
      </c>
      <c r="AX35">
        <f t="shared" si="17"/>
        <v>-0.35037746467464465</v>
      </c>
    </row>
    <row r="36" spans="1:57">
      <c r="A36">
        <f t="shared" si="22"/>
        <v>0.3404989479900995</v>
      </c>
      <c r="H36" s="3">
        <f>N2</f>
        <v>-2.9358648292981653</v>
      </c>
      <c r="I36" s="3">
        <f>N3</f>
        <v>-0.4131759111665349</v>
      </c>
      <c r="Z36">
        <f t="shared" ref="Z36:Z67" si="26">Z35+vimaex</f>
        <v>-2.1048670779051672</v>
      </c>
      <c r="AA36">
        <f t="shared" si="9"/>
        <v>33</v>
      </c>
      <c r="AB36">
        <f t="shared" si="0"/>
        <v>-2.1928588522455099</v>
      </c>
      <c r="AC36">
        <f t="shared" si="3"/>
        <v>0.24547929212481184</v>
      </c>
      <c r="AD36">
        <f t="shared" si="4"/>
        <v>-3.0536008792494487</v>
      </c>
      <c r="AE36">
        <f t="shared" si="1"/>
        <v>-0.24547929212481456</v>
      </c>
      <c r="AF36">
        <f t="shared" si="10"/>
        <v>1.0367255756846323</v>
      </c>
      <c r="AG36">
        <f t="shared" si="18"/>
        <v>0.87964594300514309</v>
      </c>
      <c r="AH36">
        <f t="shared" ref="AH36:AH54" si="27">xc+Aktina*COS(AG36)</f>
        <v>-2.1247489579177166</v>
      </c>
      <c r="AI36">
        <f t="shared" ref="AI36:AI54" si="28">yc+Aktina*SIN(AG36)</f>
        <v>-0.1147433786121051</v>
      </c>
      <c r="AJ36">
        <f t="shared" si="11"/>
        <v>2.2699929866006636</v>
      </c>
      <c r="AK36">
        <f t="shared" ref="AK36:AK67" si="29">Platoskinishs*COS(2*PI()*AJ36/Tperiod)</f>
        <v>0.47344150274051627</v>
      </c>
      <c r="AL36">
        <f t="shared" ref="AL36:AL67" si="30">2*ACOS(AK36/(4*Aktina))</f>
        <v>2.6636140999566598</v>
      </c>
      <c r="AO36">
        <f t="shared" si="20"/>
        <v>0.59690260418205932</v>
      </c>
      <c r="AP36">
        <f t="shared" si="12"/>
        <v>-2.6949630824991555</v>
      </c>
      <c r="AQ36">
        <f t="shared" si="13"/>
        <v>-0.65416114854912522</v>
      </c>
      <c r="AR36">
        <f t="shared" si="19"/>
        <v>0.33161255787892185</v>
      </c>
      <c r="AS36">
        <f t="shared" si="14"/>
        <v>-2.2219326357092086</v>
      </c>
      <c r="AT36">
        <f t="shared" si="15"/>
        <v>-0.89103715119863414</v>
      </c>
      <c r="AV36">
        <f t="shared" si="21"/>
        <v>3.8955748904513459</v>
      </c>
      <c r="AW36">
        <f t="shared" si="16"/>
        <v>-2.8935338504358272</v>
      </c>
      <c r="AX36">
        <f t="shared" si="17"/>
        <v>-0.46085444013398585</v>
      </c>
      <c r="BE36" t="s">
        <v>66</v>
      </c>
    </row>
    <row r="37" spans="1:57">
      <c r="A37">
        <f t="shared" si="22"/>
        <v>0.35468640415635366</v>
      </c>
      <c r="H37" s="4">
        <f t="shared" ref="H37:I37" si="31">H36+H34</f>
        <v>-2.0612404813459766</v>
      </c>
      <c r="I37" s="4">
        <f t="shared" si="31"/>
        <v>-0.98683227671451745</v>
      </c>
      <c r="Z37">
        <f t="shared" si="26"/>
        <v>-2.0734511513692695</v>
      </c>
      <c r="AA37">
        <f t="shared" si="9"/>
        <v>34</v>
      </c>
      <c r="AB37">
        <f t="shared" si="0"/>
        <v>-2.1693685624576009</v>
      </c>
      <c r="AC37">
        <f t="shared" si="3"/>
        <v>0.25912316294913973</v>
      </c>
      <c r="AD37">
        <f t="shared" si="4"/>
        <v>-3.0456752425014599</v>
      </c>
      <c r="AE37">
        <f t="shared" si="1"/>
        <v>-0.25912316294914262</v>
      </c>
      <c r="AF37">
        <f t="shared" si="10"/>
        <v>1.0681415022205303</v>
      </c>
      <c r="AG37">
        <f t="shared" si="18"/>
        <v>1.0053096491487348</v>
      </c>
      <c r="AH37">
        <f t="shared" si="27"/>
        <v>-2.1755475553025634</v>
      </c>
      <c r="AI37">
        <f t="shared" si="28"/>
        <v>-7.7836037248992185E-2</v>
      </c>
      <c r="AJ37">
        <f t="shared" ref="AJ37:AJ68" si="32">AJ36+Tperiod/40</f>
        <v>2.3409302674319346</v>
      </c>
      <c r="AK37">
        <f t="shared" si="29"/>
        <v>0.69555379910857862</v>
      </c>
      <c r="AL37">
        <f t="shared" si="30"/>
        <v>2.4311947612056133</v>
      </c>
      <c r="AO37">
        <f t="shared" si="20"/>
        <v>0.56548667764616134</v>
      </c>
      <c r="AP37">
        <f t="shared" ref="AP37:AP68" si="33">-PI()*Aktina-Length*SIN(AO37)</f>
        <v>-2.6424499167528874</v>
      </c>
      <c r="AQ37">
        <f t="shared" ref="AQ37:AQ68" si="34">2*Aktina-Length*COS(AO37)</f>
        <v>-0.6886558510040317</v>
      </c>
      <c r="AR37">
        <f t="shared" si="19"/>
        <v>0.31415926535897853</v>
      </c>
      <c r="AS37">
        <f t="shared" ref="AS37:AS68" si="35">-PI()*Aktina-Length*SIN(AR37)</f>
        <v>-2.1888303155447897</v>
      </c>
      <c r="AT37">
        <f t="shared" ref="AT37:AT68" si="36">2*Aktina-Length*COS(AR37)</f>
        <v>-0.90211303259030773</v>
      </c>
      <c r="AV37">
        <f t="shared" si="21"/>
        <v>4.0212385965949373</v>
      </c>
      <c r="AW37">
        <f t="shared" ref="AW37:AW55" si="37">$E$29+R_KAMP*COS(AV37)</f>
        <v>-2.7890135843439188</v>
      </c>
      <c r="AX37">
        <f t="shared" ref="AX37:AX55" si="38">$F$29+R_KAMP*SIN(AV37)</f>
        <v>-0.55900550311896446</v>
      </c>
      <c r="BE37" t="s">
        <v>67</v>
      </c>
    </row>
    <row r="38" spans="1:57">
      <c r="A38">
        <f t="shared" si="22"/>
        <v>0.36887386032260783</v>
      </c>
      <c r="H38" s="5">
        <f>-1/20*I34+18/20*H34+H36</f>
        <v>-2.1200200978637964</v>
      </c>
      <c r="I38" s="5">
        <f>1/20*H34+18/20*I34+I36</f>
        <v>-0.88573542276210993</v>
      </c>
      <c r="Z38">
        <f t="shared" si="26"/>
        <v>-2.0420352248333717</v>
      </c>
      <c r="AA38">
        <f t="shared" si="9"/>
        <v>35</v>
      </c>
      <c r="AB38">
        <f t="shared" si="0"/>
        <v>-2.1463106771174001</v>
      </c>
      <c r="AC38">
        <f t="shared" si="3"/>
        <v>0.27300475013022385</v>
      </c>
      <c r="AD38">
        <f t="shared" si="4"/>
        <v>-3.037317201305763</v>
      </c>
      <c r="AE38">
        <f t="shared" si="1"/>
        <v>-0.27300475013022685</v>
      </c>
      <c r="AF38">
        <f t="shared" si="10"/>
        <v>1.0995574287564283</v>
      </c>
      <c r="AG38">
        <f t="shared" si="18"/>
        <v>1.1309733552923265</v>
      </c>
      <c r="AH38">
        <f t="shared" si="27"/>
        <v>-2.2305713070095252</v>
      </c>
      <c r="AI38">
        <f t="shared" si="28"/>
        <v>-4.7586473766990045E-2</v>
      </c>
      <c r="AJ38">
        <f t="shared" si="32"/>
        <v>2.4118675482632055</v>
      </c>
      <c r="AK38">
        <f t="shared" si="29"/>
        <v>0.90053925253187417</v>
      </c>
      <c r="AL38">
        <f t="shared" si="30"/>
        <v>2.2074580826361139</v>
      </c>
      <c r="AO38">
        <f t="shared" si="20"/>
        <v>0.53407075111026336</v>
      </c>
      <c r="AP38">
        <f t="shared" si="33"/>
        <v>-2.5888791582956365</v>
      </c>
      <c r="AQ38">
        <f t="shared" si="34"/>
        <v>-0.72148405400788884</v>
      </c>
      <c r="AR38">
        <f t="shared" ref="AR38:AR69" si="39">AR37-DGON</f>
        <v>0.29670597283903521</v>
      </c>
      <c r="AS38">
        <f t="shared" si="35"/>
        <v>-2.1555397362403683</v>
      </c>
      <c r="AT38">
        <f t="shared" si="36"/>
        <v>-0.91260951192607154</v>
      </c>
      <c r="AV38">
        <f t="shared" si="21"/>
        <v>4.1469023027385292</v>
      </c>
      <c r="AW38">
        <f t="shared" si="37"/>
        <v>-2.6730159016671533</v>
      </c>
      <c r="AX38">
        <f t="shared" si="38"/>
        <v>-0.64328275273370483</v>
      </c>
      <c r="BE38" t="s">
        <v>68</v>
      </c>
    </row>
    <row r="39" spans="1:57">
      <c r="A39">
        <f t="shared" si="22"/>
        <v>0.38306131648886199</v>
      </c>
      <c r="H39" s="5">
        <f>1/20*I34+18/20*H34+H36</f>
        <v>-2.1773857344185945</v>
      </c>
      <c r="I39" s="5">
        <f>-1/20*H34+18/20*I34+I36</f>
        <v>-0.97319785755732879</v>
      </c>
      <c r="Z39">
        <f t="shared" si="26"/>
        <v>-2.010619298297474</v>
      </c>
      <c r="AA39">
        <f t="shared" si="9"/>
        <v>36</v>
      </c>
      <c r="AB39">
        <f t="shared" si="0"/>
        <v>-2.1236924497106253</v>
      </c>
      <c r="AC39">
        <f t="shared" si="3"/>
        <v>0.28711035421746078</v>
      </c>
      <c r="AD39">
        <f t="shared" si="4"/>
        <v>-3.02851950217664</v>
      </c>
      <c r="AE39">
        <f t="shared" si="1"/>
        <v>-0.287110354217464</v>
      </c>
      <c r="AF39">
        <f t="shared" si="10"/>
        <v>1.1309733552923262</v>
      </c>
      <c r="AG39">
        <f t="shared" si="18"/>
        <v>1.2566370614359181</v>
      </c>
      <c r="AH39">
        <f t="shared" si="27"/>
        <v>-2.2889524556045879</v>
      </c>
      <c r="AI39">
        <f t="shared" si="28"/>
        <v>-2.4471741852423068E-2</v>
      </c>
      <c r="AJ39">
        <f t="shared" si="32"/>
        <v>2.4828048290944764</v>
      </c>
      <c r="AK39">
        <f t="shared" si="29"/>
        <v>1.0833504408394072</v>
      </c>
      <c r="AL39">
        <f t="shared" si="30"/>
        <v>1.9967351576351877</v>
      </c>
      <c r="AO39">
        <f t="shared" si="20"/>
        <v>0.50265482457436539</v>
      </c>
      <c r="AP39">
        <f t="shared" si="33"/>
        <v>-2.5343036749983243</v>
      </c>
      <c r="AQ39">
        <f t="shared" si="34"/>
        <v>-0.75261336008772872</v>
      </c>
      <c r="AR39">
        <f t="shared" si="39"/>
        <v>0.27925268031909189</v>
      </c>
      <c r="AS39">
        <f t="shared" si="35"/>
        <v>-2.1220710384288934</v>
      </c>
      <c r="AT39">
        <f t="shared" si="36"/>
        <v>-0.92252339187663823</v>
      </c>
      <c r="AV39">
        <f t="shared" si="21"/>
        <v>4.2725660088821211</v>
      </c>
      <c r="AW39">
        <f t="shared" si="37"/>
        <v>-2.5473701551550012</v>
      </c>
      <c r="AX39">
        <f t="shared" si="38"/>
        <v>-0.71235708640699347</v>
      </c>
      <c r="BE39" t="s">
        <v>69</v>
      </c>
    </row>
    <row r="40" spans="1:57">
      <c r="A40">
        <f t="shared" si="22"/>
        <v>0.39724877265511616</v>
      </c>
      <c r="H40" s="6">
        <f t="shared" ref="H40:I40" si="40">H37</f>
        <v>-2.0612404813459766</v>
      </c>
      <c r="I40" s="6">
        <f t="shared" si="40"/>
        <v>-0.98683227671451745</v>
      </c>
      <c r="Z40">
        <f t="shared" si="26"/>
        <v>-1.979203371761576</v>
      </c>
      <c r="AA40">
        <f t="shared" si="9"/>
        <v>37</v>
      </c>
      <c r="AB40">
        <f t="shared" si="0"/>
        <v>-2.1015206998336953</v>
      </c>
      <c r="AC40">
        <f t="shared" si="3"/>
        <v>0.3014260546826068</v>
      </c>
      <c r="AD40">
        <f t="shared" si="4"/>
        <v>-3.0192753255176719</v>
      </c>
      <c r="AE40">
        <f t="shared" si="1"/>
        <v>-0.30142605468261002</v>
      </c>
      <c r="AF40">
        <f t="shared" si="10"/>
        <v>1.1623892818282242</v>
      </c>
      <c r="AG40">
        <f t="shared" si="18"/>
        <v>1.3823007675795098</v>
      </c>
      <c r="AH40">
        <f t="shared" si="27"/>
        <v>-2.3497702954991992</v>
      </c>
      <c r="AI40">
        <f t="shared" si="28"/>
        <v>-8.8563746356555839E-3</v>
      </c>
      <c r="AJ40">
        <f t="shared" si="32"/>
        <v>2.5537421099257474</v>
      </c>
      <c r="AK40">
        <f t="shared" si="29"/>
        <v>1.2394859458594949</v>
      </c>
      <c r="AL40">
        <f t="shared" si="30"/>
        <v>1.8047623407947866</v>
      </c>
      <c r="AO40">
        <f t="shared" si="20"/>
        <v>0.47123889803846747</v>
      </c>
      <c r="AP40">
        <f t="shared" si="33"/>
        <v>-2.4787773262739874</v>
      </c>
      <c r="AQ40">
        <f t="shared" si="34"/>
        <v>-0.78201304837673713</v>
      </c>
      <c r="AR40">
        <f t="shared" si="39"/>
        <v>0.26179938779914858</v>
      </c>
      <c r="AS40">
        <f t="shared" si="35"/>
        <v>-2.0884344169999363</v>
      </c>
      <c r="AT40">
        <f t="shared" si="36"/>
        <v>-0.93185165257813707</v>
      </c>
      <c r="AV40">
        <f t="shared" si="21"/>
        <v>4.398229715025713</v>
      </c>
      <c r="AW40">
        <f t="shared" si="37"/>
        <v>-2.41405785328709</v>
      </c>
      <c r="AX40">
        <f t="shared" si="38"/>
        <v>-0.76513916063379583</v>
      </c>
      <c r="BE40" t="s">
        <v>70</v>
      </c>
    </row>
    <row r="41" spans="1:57">
      <c r="A41">
        <f t="shared" si="22"/>
        <v>0.41143622882137032</v>
      </c>
      <c r="Z41">
        <f t="shared" si="26"/>
        <v>-1.947787445225678</v>
      </c>
      <c r="AA41">
        <f t="shared" si="9"/>
        <v>38</v>
      </c>
      <c r="AB41">
        <f t="shared" si="0"/>
        <v>-2.0798018064636112</v>
      </c>
      <c r="AC41">
        <f t="shared" si="3"/>
        <v>0.31593772365765815</v>
      </c>
      <c r="AD41">
        <f t="shared" si="4"/>
        <v>-3.0095782923518577</v>
      </c>
      <c r="AE41">
        <f t="shared" si="1"/>
        <v>-0.31593772365766137</v>
      </c>
      <c r="AF41">
        <f t="shared" si="10"/>
        <v>1.1938052083641222</v>
      </c>
      <c r="AG41">
        <f t="shared" si="18"/>
        <v>1.5079644737231015</v>
      </c>
      <c r="AH41">
        <f t="shared" si="27"/>
        <v>-2.4120656930274049</v>
      </c>
      <c r="AI41">
        <f t="shared" si="28"/>
        <v>-9.8663578586422052E-4</v>
      </c>
      <c r="AJ41">
        <f t="shared" si="32"/>
        <v>2.6246793907570183</v>
      </c>
      <c r="AK41">
        <f t="shared" si="29"/>
        <v>1.3651011932745118</v>
      </c>
      <c r="AL41">
        <f t="shared" si="30"/>
        <v>1.6390987882076937</v>
      </c>
      <c r="AO41">
        <f t="shared" si="20"/>
        <v>0.43982297150256955</v>
      </c>
      <c r="AP41">
        <f t="shared" si="33"/>
        <v>-2.4223549099250392</v>
      </c>
      <c r="AQ41">
        <f t="shared" si="34"/>
        <v>-0.80965410493204026</v>
      </c>
      <c r="AR41">
        <f t="shared" si="39"/>
        <v>0.24434609527920528</v>
      </c>
      <c r="AS41">
        <f t="shared" si="35"/>
        <v>-2.0546401179942304</v>
      </c>
      <c r="AT41">
        <f t="shared" si="36"/>
        <v>-0.94059145255199339</v>
      </c>
      <c r="AV41">
        <f t="shared" si="21"/>
        <v>4.5238934211693049</v>
      </c>
      <c r="AW41">
        <f t="shared" si="37"/>
        <v>-2.2751814107007853</v>
      </c>
      <c r="AX41">
        <f t="shared" si="38"/>
        <v>-0.80079657057307263</v>
      </c>
      <c r="BE41" t="s">
        <v>35</v>
      </c>
    </row>
    <row r="42" spans="1:57">
      <c r="A42">
        <f t="shared" si="22"/>
        <v>0.42562368498762448</v>
      </c>
      <c r="Z42">
        <f t="shared" si="26"/>
        <v>-1.9163715186897801</v>
      </c>
      <c r="AA42">
        <f t="shared" si="9"/>
        <v>39</v>
      </c>
      <c r="AB42">
        <f t="shared" si="0"/>
        <v>-2.0585417016626746</v>
      </c>
      <c r="AC42">
        <f t="shared" si="3"/>
        <v>0.33063103987735143</v>
      </c>
      <c r="AD42">
        <f t="shared" si="4"/>
        <v>-2.9994224706168957</v>
      </c>
      <c r="AE42">
        <f t="shared" si="1"/>
        <v>-0.33063103987735465</v>
      </c>
      <c r="AF42">
        <f t="shared" si="10"/>
        <v>1.2252211349000202</v>
      </c>
      <c r="AG42">
        <f t="shared" si="18"/>
        <v>1.6336281798666932</v>
      </c>
      <c r="AH42">
        <f t="shared" si="27"/>
        <v>-2.4748562125567184</v>
      </c>
      <c r="AI42">
        <f t="shared" si="28"/>
        <v>-9.8663578586422052E-4</v>
      </c>
      <c r="AJ42">
        <f t="shared" si="32"/>
        <v>2.6956166715882892</v>
      </c>
      <c r="AK42">
        <f t="shared" si="29"/>
        <v>1.4571031187999943</v>
      </c>
      <c r="AL42">
        <f t="shared" si="30"/>
        <v>1.5091826012557956</v>
      </c>
      <c r="AO42">
        <f t="shared" si="20"/>
        <v>0.40840704496667163</v>
      </c>
      <c r="AP42">
        <f t="shared" si="33"/>
        <v>-2.3650921080644549</v>
      </c>
      <c r="AQ42">
        <f t="shared" si="34"/>
        <v>-0.83550925136796339</v>
      </c>
      <c r="AR42">
        <f t="shared" si="39"/>
        <v>0.22689280275926199</v>
      </c>
      <c r="AS42">
        <f t="shared" si="35"/>
        <v>-2.020698435482625</v>
      </c>
      <c r="AT42">
        <f t="shared" si="36"/>
        <v>-0.94874012957047094</v>
      </c>
      <c r="AV42">
        <f t="shared" si="21"/>
        <v>4.6495571273128968</v>
      </c>
      <c r="AW42">
        <f t="shared" si="37"/>
        <v>-2.1329309918564392</v>
      </c>
      <c r="AX42">
        <f t="shared" si="38"/>
        <v>-0.81876697756937711</v>
      </c>
      <c r="BE42" t="s">
        <v>71</v>
      </c>
    </row>
    <row r="43" spans="1:57">
      <c r="A43">
        <f t="shared" si="22"/>
        <v>0.43981114115387865</v>
      </c>
      <c r="Z43">
        <f t="shared" si="26"/>
        <v>-1.8849555921538821</v>
      </c>
      <c r="AA43">
        <f t="shared" si="9"/>
        <v>40</v>
      </c>
      <c r="AB43">
        <f t="shared" si="0"/>
        <v>-2.0377458647242617</v>
      </c>
      <c r="AC43">
        <f t="shared" si="3"/>
        <v>0.34549150281252339</v>
      </c>
      <c r="AD43">
        <f t="shared" si="4"/>
        <v>-2.9888023810194109</v>
      </c>
      <c r="AE43">
        <f t="shared" si="1"/>
        <v>-0.34549150281252672</v>
      </c>
      <c r="AF43">
        <f t="shared" si="10"/>
        <v>1.2566370614359181</v>
      </c>
      <c r="AG43">
        <f t="shared" si="18"/>
        <v>1.7592918860102849</v>
      </c>
      <c r="AH43">
        <f t="shared" si="27"/>
        <v>-2.5371516100849236</v>
      </c>
      <c r="AI43">
        <f t="shared" si="28"/>
        <v>-8.8563746356556949E-3</v>
      </c>
      <c r="AJ43">
        <f t="shared" si="32"/>
        <v>2.7665539524195601</v>
      </c>
      <c r="AK43">
        <f t="shared" si="29"/>
        <v>1.5132263296926207</v>
      </c>
      <c r="AL43">
        <f t="shared" si="30"/>
        <v>1.4253571715846325</v>
      </c>
      <c r="AO43">
        <f t="shared" si="20"/>
        <v>0.37699111843077371</v>
      </c>
      <c r="AP43">
        <f t="shared" si="33"/>
        <v>-2.3070454321642497</v>
      </c>
      <c r="AQ43">
        <f t="shared" si="34"/>
        <v>-0.8595529717765038</v>
      </c>
      <c r="AR43">
        <f t="shared" si="39"/>
        <v>0.2094395102393187</v>
      </c>
      <c r="AS43">
        <f t="shared" si="35"/>
        <v>-1.9866197084304136</v>
      </c>
      <c r="AT43">
        <f t="shared" si="36"/>
        <v>-0.9562952014676116</v>
      </c>
      <c r="AV43">
        <f t="shared" si="21"/>
        <v>4.7752208334564887</v>
      </c>
      <c r="AW43">
        <f t="shared" si="37"/>
        <v>-1.9895499708355076</v>
      </c>
      <c r="AX43">
        <f t="shared" si="38"/>
        <v>-0.81876697756937666</v>
      </c>
      <c r="BE43" t="s">
        <v>47</v>
      </c>
    </row>
    <row r="44" spans="1:57">
      <c r="A44">
        <f t="shared" si="22"/>
        <v>0.45399859732013281</v>
      </c>
      <c r="Z44">
        <f t="shared" si="26"/>
        <v>-1.8535396656179841</v>
      </c>
      <c r="AA44">
        <f t="shared" si="9"/>
        <v>41</v>
      </c>
      <c r="AB44">
        <f t="shared" si="0"/>
        <v>-2.0174193167654182</v>
      </c>
      <c r="AC44">
        <f t="shared" si="3"/>
        <v>0.36050444698038242</v>
      </c>
      <c r="AD44">
        <f t="shared" si="4"/>
        <v>-2.9777130024423566</v>
      </c>
      <c r="AE44">
        <f t="shared" si="1"/>
        <v>-0.36050444698038581</v>
      </c>
      <c r="AF44">
        <f t="shared" si="10"/>
        <v>1.2880529879718161</v>
      </c>
      <c r="AG44">
        <f t="shared" si="18"/>
        <v>1.8849555921538765</v>
      </c>
      <c r="AH44">
        <f t="shared" si="27"/>
        <v>-2.5979694499795354</v>
      </c>
      <c r="AI44">
        <f t="shared" si="28"/>
        <v>-2.447174185242329E-2</v>
      </c>
      <c r="AJ44">
        <f t="shared" si="32"/>
        <v>2.8374912332508311</v>
      </c>
      <c r="AK44">
        <f t="shared" si="29"/>
        <v>1.532088886237956</v>
      </c>
      <c r="AL44">
        <f t="shared" si="30"/>
        <v>1.3962634015954638</v>
      </c>
      <c r="AO44">
        <f t="shared" si="20"/>
        <v>0.34557519189487579</v>
      </c>
      <c r="AP44">
        <f t="shared" si="33"/>
        <v>-2.2482721672854766</v>
      </c>
      <c r="AQ44">
        <f t="shared" si="34"/>
        <v>-0.88176153790845202</v>
      </c>
      <c r="AR44">
        <f t="shared" si="39"/>
        <v>0.19198621771937541</v>
      </c>
      <c r="AS44">
        <f t="shared" si="35"/>
        <v>-1.9524143175479844</v>
      </c>
      <c r="AT44">
        <f t="shared" si="36"/>
        <v>-0.96325436689532817</v>
      </c>
      <c r="AV44">
        <f t="shared" si="21"/>
        <v>4.9008845396000806</v>
      </c>
      <c r="AW44">
        <f t="shared" si="37"/>
        <v>-1.8472995519911612</v>
      </c>
      <c r="AX44">
        <f t="shared" si="38"/>
        <v>-0.80079657057307152</v>
      </c>
      <c r="BE44" t="s">
        <v>48</v>
      </c>
    </row>
    <row r="45" spans="1:57">
      <c r="A45">
        <f t="shared" si="22"/>
        <v>0.46818605348638698</v>
      </c>
      <c r="Z45">
        <f t="shared" si="26"/>
        <v>-1.8221237390820861</v>
      </c>
      <c r="AA45">
        <f t="shared" si="9"/>
        <v>42</v>
      </c>
      <c r="AB45">
        <f t="shared" si="0"/>
        <v>-1.9975666157716245</v>
      </c>
      <c r="AC45">
        <f t="shared" si="3"/>
        <v>0.37565505641756969</v>
      </c>
      <c r="AD45">
        <f t="shared" si="4"/>
        <v>-2.9661497769002518</v>
      </c>
      <c r="AE45">
        <f t="shared" si="1"/>
        <v>-0.37565505641757307</v>
      </c>
      <c r="AF45">
        <f t="shared" si="10"/>
        <v>1.3194689145077141</v>
      </c>
      <c r="AG45">
        <f t="shared" si="18"/>
        <v>2.0106192982974682</v>
      </c>
      <c r="AH45">
        <f t="shared" si="27"/>
        <v>-2.6563505985745977</v>
      </c>
      <c r="AI45">
        <f t="shared" si="28"/>
        <v>-4.7586473766990378E-2</v>
      </c>
      <c r="AJ45">
        <f t="shared" si="32"/>
        <v>2.908428514082102</v>
      </c>
      <c r="AK45">
        <f t="shared" si="29"/>
        <v>1.5132263296926181</v>
      </c>
      <c r="AL45">
        <f t="shared" si="30"/>
        <v>1.4253571715846365</v>
      </c>
      <c r="AO45">
        <f t="shared" si="20"/>
        <v>0.31415926535897787</v>
      </c>
      <c r="AP45">
        <f t="shared" si="33"/>
        <v>-2.1888303155447888</v>
      </c>
      <c r="AQ45">
        <f t="shared" si="34"/>
        <v>-0.90211303259030795</v>
      </c>
      <c r="AR45">
        <f t="shared" si="39"/>
        <v>0.17453292519943212</v>
      </c>
      <c r="AS45">
        <f t="shared" si="35"/>
        <v>-1.9180926821287556</v>
      </c>
      <c r="AT45">
        <f t="shared" si="36"/>
        <v>-0.96961550602441648</v>
      </c>
      <c r="AV45">
        <f t="shared" si="21"/>
        <v>5.0265482457436725</v>
      </c>
      <c r="AW45">
        <f t="shared" si="37"/>
        <v>-1.708423109404857</v>
      </c>
      <c r="AX45">
        <f t="shared" si="38"/>
        <v>-0.76513916063379384</v>
      </c>
      <c r="BE45" t="s">
        <v>72</v>
      </c>
    </row>
    <row r="46" spans="1:57">
      <c r="A46">
        <f t="shared" si="22"/>
        <v>0.48237350965264114</v>
      </c>
      <c r="Z46">
        <f t="shared" si="26"/>
        <v>-1.7907078125461882</v>
      </c>
      <c r="AA46">
        <f t="shared" si="9"/>
        <v>43</v>
      </c>
      <c r="AB46">
        <f t="shared" si="0"/>
        <v>-1.9781918520986175</v>
      </c>
      <c r="AC46">
        <f t="shared" si="3"/>
        <v>0.3909283793017258</v>
      </c>
      <c r="AD46">
        <f t="shared" si="4"/>
        <v>-2.9541086140373611</v>
      </c>
      <c r="AE46">
        <f t="shared" si="1"/>
        <v>-0.39092837930172919</v>
      </c>
      <c r="AF46">
        <f t="shared" si="10"/>
        <v>1.3508848410436121</v>
      </c>
      <c r="AG46">
        <f t="shared" si="18"/>
        <v>2.1362830044410601</v>
      </c>
      <c r="AH46">
        <f t="shared" si="27"/>
        <v>-2.7113743502815599</v>
      </c>
      <c r="AI46">
        <f t="shared" si="28"/>
        <v>-7.7836037248992629E-2</v>
      </c>
      <c r="AJ46">
        <f t="shared" si="32"/>
        <v>2.9793657949133729</v>
      </c>
      <c r="AK46">
        <f t="shared" si="29"/>
        <v>1.4571031187999894</v>
      </c>
      <c r="AL46">
        <f t="shared" si="30"/>
        <v>1.5091826012558027</v>
      </c>
      <c r="AO46">
        <f t="shared" si="20"/>
        <v>0.28274333882307995</v>
      </c>
      <c r="AP46">
        <f t="shared" si="33"/>
        <v>-2.1287785388733522</v>
      </c>
      <c r="AQ46">
        <f t="shared" si="34"/>
        <v>-0.92058737135388702</v>
      </c>
      <c r="AR46">
        <f t="shared" si="39"/>
        <v>0.15707963267948882</v>
      </c>
      <c r="AS46">
        <f t="shared" si="35"/>
        <v>-1.8836652568753567</v>
      </c>
      <c r="AT46">
        <f t="shared" si="36"/>
        <v>-0.97537668119027576</v>
      </c>
      <c r="AV46">
        <f t="shared" si="21"/>
        <v>5.1522119518872644</v>
      </c>
      <c r="AW46">
        <f t="shared" si="37"/>
        <v>-1.575110807536946</v>
      </c>
      <c r="AX46">
        <f t="shared" si="38"/>
        <v>-0.71235708640699058</v>
      </c>
      <c r="BE46" t="s">
        <v>50</v>
      </c>
    </row>
    <row r="47" spans="1:57">
      <c r="A47">
        <f t="shared" si="22"/>
        <v>0.49656096581889531</v>
      </c>
      <c r="Z47">
        <f t="shared" si="26"/>
        <v>-1.7592918860102902</v>
      </c>
      <c r="AA47">
        <f t="shared" si="9"/>
        <v>44</v>
      </c>
      <c r="AB47">
        <f t="shared" si="0"/>
        <v>-1.9592986444356979</v>
      </c>
      <c r="AC47">
        <f t="shared" si="3"/>
        <v>0.40630934270713476</v>
      </c>
      <c r="AD47">
        <f t="shared" si="4"/>
        <v>-2.9415858951643825</v>
      </c>
      <c r="AE47">
        <f t="shared" si="1"/>
        <v>-0.4063093427071382</v>
      </c>
      <c r="AF47">
        <f t="shared" si="10"/>
        <v>1.38230076757951</v>
      </c>
      <c r="AG47">
        <f t="shared" si="18"/>
        <v>2.261946710584652</v>
      </c>
      <c r="AH47">
        <f t="shared" si="27"/>
        <v>-2.7621729476664063</v>
      </c>
      <c r="AI47">
        <f t="shared" si="28"/>
        <v>-0.11474337861210565</v>
      </c>
      <c r="AJ47">
        <f t="shared" si="32"/>
        <v>3.0503030757446439</v>
      </c>
      <c r="AK47">
        <f t="shared" si="29"/>
        <v>1.3651011932745043</v>
      </c>
      <c r="AL47">
        <f t="shared" si="30"/>
        <v>1.6390987882077039</v>
      </c>
      <c r="AO47">
        <f t="shared" si="20"/>
        <v>0.25132741228718203</v>
      </c>
      <c r="AP47">
        <f t="shared" si="33"/>
        <v>-2.0681761011246032</v>
      </c>
      <c r="AQ47">
        <f t="shared" si="34"/>
        <v>-0.93716632225726304</v>
      </c>
      <c r="AR47">
        <f t="shared" si="39"/>
        <v>0.13962634015954553</v>
      </c>
      <c r="AS47">
        <f t="shared" si="35"/>
        <v>-1.8491425287150258</v>
      </c>
      <c r="AT47">
        <f t="shared" si="36"/>
        <v>-0.98053613748314095</v>
      </c>
      <c r="AV47">
        <f t="shared" si="21"/>
        <v>5.2778756580308563</v>
      </c>
      <c r="AW47">
        <f t="shared" si="37"/>
        <v>-1.4494650610247943</v>
      </c>
      <c r="AX47">
        <f t="shared" si="38"/>
        <v>-0.64328275273370128</v>
      </c>
      <c r="BE47" t="s">
        <v>73</v>
      </c>
    </row>
    <row r="48" spans="1:57">
      <c r="A48">
        <f t="shared" si="22"/>
        <v>0.51074842198514947</v>
      </c>
      <c r="Z48">
        <f t="shared" si="26"/>
        <v>-1.7278759594743922</v>
      </c>
      <c r="AA48">
        <f t="shared" si="9"/>
        <v>45</v>
      </c>
      <c r="AB48">
        <f t="shared" si="0"/>
        <v>-1.9408901362345243</v>
      </c>
      <c r="AC48">
        <f t="shared" si="3"/>
        <v>0.42178276747988164</v>
      </c>
      <c r="AD48">
        <f t="shared" si="4"/>
        <v>-2.9285784768296579</v>
      </c>
      <c r="AE48">
        <f t="shared" si="1"/>
        <v>-0.42178276747988508</v>
      </c>
      <c r="AF48">
        <f t="shared" si="10"/>
        <v>1.413716694115408</v>
      </c>
      <c r="AG48">
        <f t="shared" si="18"/>
        <v>2.3876104167282439</v>
      </c>
      <c r="AH48">
        <f t="shared" si="27"/>
        <v>-2.8079452665027675</v>
      </c>
      <c r="AI48">
        <f t="shared" si="28"/>
        <v>-0.15772644703565603</v>
      </c>
      <c r="AJ48">
        <f t="shared" si="32"/>
        <v>3.1212403565759148</v>
      </c>
      <c r="AK48">
        <f t="shared" si="29"/>
        <v>1.2394859458594842</v>
      </c>
      <c r="AL48">
        <f t="shared" si="30"/>
        <v>1.8047623407948001</v>
      </c>
      <c r="AO48">
        <f t="shared" si="20"/>
        <v>0.21991148575128411</v>
      </c>
      <c r="AP48">
        <f t="shared" si="33"/>
        <v>-2.0070828095879789</v>
      </c>
      <c r="AQ48">
        <f t="shared" si="34"/>
        <v>-0.95183352387749531</v>
      </c>
      <c r="AR48">
        <f t="shared" si="39"/>
        <v>0.12217304763960224</v>
      </c>
      <c r="AS48">
        <f t="shared" si="35"/>
        <v>-1.8145350136051899</v>
      </c>
      <c r="AT48">
        <f t="shared" si="36"/>
        <v>-0.98509230328264419</v>
      </c>
      <c r="AV48">
        <f t="shared" si="21"/>
        <v>5.4035393641744482</v>
      </c>
      <c r="AW48">
        <f t="shared" si="37"/>
        <v>-1.3334673783480295</v>
      </c>
      <c r="AX48">
        <f t="shared" si="38"/>
        <v>-0.55900550311896025</v>
      </c>
      <c r="BE48" t="s">
        <v>74</v>
      </c>
    </row>
    <row r="49" spans="1:57">
      <c r="A49">
        <f t="shared" si="22"/>
        <v>0.52493587815140363</v>
      </c>
      <c r="Z49">
        <f t="shared" si="26"/>
        <v>-1.6964600329384942</v>
      </c>
      <c r="AA49">
        <f t="shared" si="9"/>
        <v>46</v>
      </c>
      <c r="AB49">
        <f t="shared" si="0"/>
        <v>-1.9229689926069053</v>
      </c>
      <c r="AC49">
        <f t="shared" si="3"/>
        <v>0.43733338321784498</v>
      </c>
      <c r="AD49">
        <f t="shared" si="4"/>
        <v>-2.9150836939213791</v>
      </c>
      <c r="AE49">
        <f t="shared" si="1"/>
        <v>-0.43733338321784843</v>
      </c>
      <c r="AF49">
        <f t="shared" si="10"/>
        <v>1.445132620651306</v>
      </c>
      <c r="AG49">
        <f t="shared" si="18"/>
        <v>2.5132741228718358</v>
      </c>
      <c r="AH49">
        <f t="shared" si="27"/>
        <v>-2.8479694499795354</v>
      </c>
      <c r="AI49">
        <f t="shared" si="28"/>
        <v>-0.20610737385376393</v>
      </c>
      <c r="AJ49">
        <f t="shared" si="32"/>
        <v>3.1921776374071857</v>
      </c>
      <c r="AK49">
        <f t="shared" si="29"/>
        <v>1.0833504408393944</v>
      </c>
      <c r="AL49">
        <f t="shared" si="30"/>
        <v>1.996735157635203</v>
      </c>
      <c r="AO49">
        <f t="shared" si="20"/>
        <v>0.18849555921538619</v>
      </c>
      <c r="AP49">
        <f t="shared" si="33"/>
        <v>-1.9455589559663431</v>
      </c>
      <c r="AQ49">
        <f t="shared" si="34"/>
        <v>-0.96457450145737789</v>
      </c>
      <c r="AR49">
        <f t="shared" si="39"/>
        <v>0.10471975511965895</v>
      </c>
      <c r="AS49">
        <f t="shared" si="35"/>
        <v>-1.7798532533302018</v>
      </c>
      <c r="AT49">
        <f t="shared" si="36"/>
        <v>-0.9890437907365468</v>
      </c>
      <c r="AV49">
        <f t="shared" si="21"/>
        <v>5.5292030703180401</v>
      </c>
      <c r="AW49">
        <f t="shared" si="37"/>
        <v>-1.2289471122561209</v>
      </c>
      <c r="AX49">
        <f t="shared" si="38"/>
        <v>-0.46085444013398075</v>
      </c>
      <c r="BE49" t="s">
        <v>51</v>
      </c>
    </row>
    <row r="50" spans="1:57">
      <c r="A50">
        <f t="shared" si="22"/>
        <v>0.5391233343176578</v>
      </c>
      <c r="Z50">
        <f t="shared" si="26"/>
        <v>-1.6650441064025963</v>
      </c>
      <c r="AA50">
        <f t="shared" si="9"/>
        <v>47</v>
      </c>
      <c r="AB50">
        <f t="shared" si="0"/>
        <v>-1.9055373976946548</v>
      </c>
      <c r="AC50">
        <f t="shared" si="3"/>
        <v>0.45294584334073995</v>
      </c>
      <c r="AD50">
        <f t="shared" si="4"/>
        <v>-2.9010993622977312</v>
      </c>
      <c r="AE50">
        <f t="shared" si="1"/>
        <v>-0.45294584334074339</v>
      </c>
      <c r="AF50">
        <f t="shared" si="10"/>
        <v>1.476548547187204</v>
      </c>
      <c r="AG50">
        <f t="shared" si="18"/>
        <v>2.6389378290154277</v>
      </c>
      <c r="AH50">
        <f t="shared" si="27"/>
        <v>-2.8816142928139934</v>
      </c>
      <c r="AI50">
        <f t="shared" si="28"/>
        <v>-0.25912316294914295</v>
      </c>
      <c r="AJ50">
        <f t="shared" si="32"/>
        <v>3.2631149182384567</v>
      </c>
      <c r="AK50">
        <f t="shared" si="29"/>
        <v>0.9005392525318604</v>
      </c>
      <c r="AL50">
        <f t="shared" si="30"/>
        <v>2.2074580826361294</v>
      </c>
      <c r="AO50">
        <f t="shared" si="20"/>
        <v>0.15707963267948827</v>
      </c>
      <c r="AP50">
        <f t="shared" si="33"/>
        <v>-1.8836652568753556</v>
      </c>
      <c r="AQ50">
        <f t="shared" si="34"/>
        <v>-0.97537668119027598</v>
      </c>
      <c r="AR50">
        <f t="shared" si="39"/>
        <v>8.7266462599715655E-2</v>
      </c>
      <c r="AS50">
        <f t="shared" si="35"/>
        <v>-1.7451078122902113</v>
      </c>
      <c r="AT50">
        <f t="shared" si="36"/>
        <v>-0.99238939618349131</v>
      </c>
      <c r="AV50">
        <f t="shared" si="21"/>
        <v>5.654866776461632</v>
      </c>
      <c r="AW50">
        <f t="shared" si="37"/>
        <v>-1.1375526097827184</v>
      </c>
      <c r="AX50">
        <f t="shared" si="38"/>
        <v>-0.35037746467463876</v>
      </c>
      <c r="BE50" t="s">
        <v>52</v>
      </c>
    </row>
    <row r="51" spans="1:57">
      <c r="A51">
        <f t="shared" si="22"/>
        <v>0.55331079048391196</v>
      </c>
      <c r="Z51">
        <f t="shared" si="26"/>
        <v>-1.6336281798666983</v>
      </c>
      <c r="AA51">
        <f t="shared" si="9"/>
        <v>48</v>
      </c>
      <c r="AB51">
        <f t="shared" si="0"/>
        <v>-1.88859705251411</v>
      </c>
      <c r="AC51">
        <f t="shared" si="3"/>
        <v>0.46860474023534043</v>
      </c>
      <c r="AD51">
        <f t="shared" si="4"/>
        <v>-2.886623780942378</v>
      </c>
      <c r="AE51">
        <f t="shared" si="1"/>
        <v>-0.46860474023534393</v>
      </c>
      <c r="AF51">
        <f t="shared" si="10"/>
        <v>1.5079644737231019</v>
      </c>
      <c r="AG51">
        <f t="shared" si="18"/>
        <v>2.7646015351590196</v>
      </c>
      <c r="AH51">
        <f t="shared" si="27"/>
        <v>-2.9083491957361871</v>
      </c>
      <c r="AI51">
        <f t="shared" si="28"/>
        <v>-0.31593772365766176</v>
      </c>
      <c r="AJ51">
        <f t="shared" si="32"/>
        <v>3.3340521990697276</v>
      </c>
      <c r="AK51">
        <f t="shared" si="29"/>
        <v>0.69555379910856241</v>
      </c>
      <c r="AL51">
        <f t="shared" si="30"/>
        <v>2.4311947612056306</v>
      </c>
      <c r="AO51">
        <f t="shared" si="20"/>
        <v>0.12566370614359035</v>
      </c>
      <c r="AP51">
        <f t="shared" si="33"/>
        <v>-1.8214627939235024</v>
      </c>
      <c r="AQ51">
        <f t="shared" si="34"/>
        <v>-0.98422940262895597</v>
      </c>
      <c r="AR51">
        <f t="shared" si="39"/>
        <v>6.9813170079772363E-2</v>
      </c>
      <c r="AS51">
        <f t="shared" si="35"/>
        <v>-1.7103092742831456</v>
      </c>
      <c r="AT51">
        <f t="shared" si="36"/>
        <v>-0.99512810051964862</v>
      </c>
      <c r="AV51">
        <f t="shared" si="21"/>
        <v>5.780530482605224</v>
      </c>
      <c r="AW51">
        <f t="shared" si="37"/>
        <v>-1.0607252168282573</v>
      </c>
      <c r="AX51">
        <f t="shared" si="38"/>
        <v>-0.22931686463967466</v>
      </c>
      <c r="BE51" t="s">
        <v>53</v>
      </c>
    </row>
    <row r="52" spans="1:57">
      <c r="A52">
        <f t="shared" si="22"/>
        <v>0.56749824665016613</v>
      </c>
      <c r="S52" t="s">
        <v>178</v>
      </c>
      <c r="Z52">
        <f t="shared" si="26"/>
        <v>-1.6022122533308003</v>
      </c>
      <c r="AA52">
        <f t="shared" si="9"/>
        <v>49</v>
      </c>
      <c r="AB52">
        <f t="shared" si="0"/>
        <v>-1.8721491732774311</v>
      </c>
      <c r="AC52">
        <f t="shared" si="3"/>
        <v>0.48429462046093297</v>
      </c>
      <c r="AD52">
        <f t="shared" si="4"/>
        <v>-2.8716557336431592</v>
      </c>
      <c r="AE52">
        <f t="shared" si="1"/>
        <v>-0.48429462046093646</v>
      </c>
      <c r="AF52">
        <f t="shared" si="10"/>
        <v>1.5393804002589999</v>
      </c>
      <c r="AG52">
        <f t="shared" si="18"/>
        <v>2.8902652413026115</v>
      </c>
      <c r="AH52">
        <f t="shared" si="27"/>
        <v>-2.9277525333563768</v>
      </c>
      <c r="AI52">
        <f t="shared" si="28"/>
        <v>-0.37565505641757346</v>
      </c>
      <c r="AJ52">
        <f t="shared" si="32"/>
        <v>3.4049894799009985</v>
      </c>
      <c r="AK52">
        <f t="shared" si="29"/>
        <v>0.47344150274050012</v>
      </c>
      <c r="AL52">
        <f t="shared" si="30"/>
        <v>2.6636140999566762</v>
      </c>
      <c r="AO52">
        <f t="shared" si="20"/>
        <v>9.4247779607692414E-2</v>
      </c>
      <c r="AP52">
        <f t="shared" si="33"/>
        <v>-1.7590129534319225</v>
      </c>
      <c r="AQ52">
        <f t="shared" si="34"/>
        <v>-0.99112392920616021</v>
      </c>
      <c r="AR52">
        <f t="shared" si="39"/>
        <v>5.2359877559829071E-2</v>
      </c>
      <c r="AS52">
        <f t="shared" si="35"/>
        <v>-1.6754682392807827</v>
      </c>
      <c r="AT52">
        <f t="shared" si="36"/>
        <v>-0.99725906950914789</v>
      </c>
      <c r="AV52">
        <f t="shared" si="21"/>
        <v>5.9061941887488159</v>
      </c>
      <c r="AW52">
        <f t="shared" si="37"/>
        <v>-0.99967654727408872</v>
      </c>
      <c r="AX52">
        <f t="shared" si="38"/>
        <v>-9.9581838009736523E-2</v>
      </c>
      <c r="BE52" t="s">
        <v>75</v>
      </c>
    </row>
    <row r="53" spans="1:57">
      <c r="A53">
        <f t="shared" si="22"/>
        <v>0.58168570281642029</v>
      </c>
      <c r="Z53">
        <f t="shared" si="26"/>
        <v>-1.5707963267949023</v>
      </c>
      <c r="AA53">
        <f t="shared" si="9"/>
        <v>50</v>
      </c>
      <c r="AB53">
        <f t="shared" si="0"/>
        <v>-1.8561944901923475</v>
      </c>
      <c r="AC53">
        <f t="shared" si="3"/>
        <v>0.49999999999999717</v>
      </c>
      <c r="AD53">
        <f t="shared" si="4"/>
        <v>-2.8561944901923439</v>
      </c>
      <c r="AE53">
        <f t="shared" si="1"/>
        <v>-0.50000000000000067</v>
      </c>
      <c r="AF53">
        <f t="shared" si="10"/>
        <v>1.5707963267948979</v>
      </c>
      <c r="AG53">
        <f t="shared" si="18"/>
        <v>3.0159289474462034</v>
      </c>
      <c r="AH53">
        <f t="shared" si="27"/>
        <v>-2.9395183034493004</v>
      </c>
      <c r="AI53">
        <f t="shared" si="28"/>
        <v>-0.43733338321784881</v>
      </c>
      <c r="AJ53">
        <f t="shared" si="32"/>
        <v>3.4759267607322695</v>
      </c>
      <c r="AK53">
        <f t="shared" si="29"/>
        <v>0.23967150531270209</v>
      </c>
      <c r="AL53">
        <f t="shared" si="30"/>
        <v>2.9013437711965562</v>
      </c>
      <c r="AO53">
        <f t="shared" si="20"/>
        <v>6.283185307179448E-2</v>
      </c>
      <c r="AP53">
        <f t="shared" si="33"/>
        <v>-1.6963773658535206</v>
      </c>
      <c r="AQ53">
        <f t="shared" si="34"/>
        <v>-0.99605345685654334</v>
      </c>
      <c r="AR53">
        <f t="shared" si="39"/>
        <v>3.4906585039885779E-2</v>
      </c>
      <c r="AS53">
        <f t="shared" si="35"/>
        <v>-1.6405953201998968</v>
      </c>
      <c r="AT53">
        <f t="shared" si="36"/>
        <v>-0.99878165403819152</v>
      </c>
      <c r="AV53">
        <f t="shared" si="21"/>
        <v>6.0318578948924078</v>
      </c>
      <c r="AW53">
        <f t="shared" si="37"/>
        <v>-0.95536937510779008</v>
      </c>
      <c r="AX53">
        <f t="shared" si="38"/>
        <v>3.6781616345272938E-2</v>
      </c>
      <c r="BE53" t="s">
        <v>76</v>
      </c>
    </row>
    <row r="54" spans="1:57">
      <c r="A54">
        <f t="shared" si="22"/>
        <v>0.59587315898267446</v>
      </c>
      <c r="S54" t="s">
        <v>179</v>
      </c>
      <c r="T54" s="16">
        <f>2*Aktina-(Length-AD*1)</f>
        <v>-0.28557521937307873</v>
      </c>
      <c r="Z54">
        <f t="shared" si="26"/>
        <v>-1.5393804002590044</v>
      </c>
      <c r="AA54">
        <f t="shared" si="9"/>
        <v>51</v>
      </c>
      <c r="AB54">
        <f t="shared" si="0"/>
        <v>-1.8407332467415327</v>
      </c>
      <c r="AC54">
        <f t="shared" si="3"/>
        <v>0.51570537953906137</v>
      </c>
      <c r="AD54">
        <f t="shared" si="4"/>
        <v>-2.840239807107261</v>
      </c>
      <c r="AE54">
        <f t="shared" si="1"/>
        <v>-0.51570537953906481</v>
      </c>
      <c r="AF54">
        <f t="shared" si="10"/>
        <v>1.6022122533307959</v>
      </c>
      <c r="AG54">
        <f t="shared" si="18"/>
        <v>3.1415926535897953</v>
      </c>
      <c r="AH54">
        <f t="shared" si="27"/>
        <v>-2.9434609527920612</v>
      </c>
      <c r="AI54">
        <f t="shared" si="28"/>
        <v>-0.500000000000001</v>
      </c>
      <c r="AJ54">
        <f t="shared" si="32"/>
        <v>3.5468640415635404</v>
      </c>
      <c r="AK54">
        <f t="shared" si="29"/>
        <v>-1.5859960346888159E-14</v>
      </c>
      <c r="AL54">
        <f t="shared" si="30"/>
        <v>3.1415926535898091</v>
      </c>
      <c r="AO54">
        <f t="shared" si="20"/>
        <v>3.1415926535896546E-2</v>
      </c>
      <c r="AP54">
        <f t="shared" si="33"/>
        <v>-1.6336178449511505</v>
      </c>
      <c r="AQ54">
        <f t="shared" si="34"/>
        <v>-0.9990131207314632</v>
      </c>
      <c r="AR54">
        <f t="shared" si="39"/>
        <v>1.7453292519942484E-2</v>
      </c>
      <c r="AS54">
        <f t="shared" si="35"/>
        <v>-1.605701139669462</v>
      </c>
      <c r="AT54">
        <f t="shared" si="36"/>
        <v>-0.99969539031278254</v>
      </c>
      <c r="AV54">
        <f t="shared" si="21"/>
        <v>6.1575216010359997</v>
      </c>
      <c r="AW54">
        <f t="shared" si="37"/>
        <v>-0.92850245090224526</v>
      </c>
      <c r="AX54">
        <f t="shared" si="38"/>
        <v>0.17762296529059612</v>
      </c>
      <c r="BE54" t="s">
        <v>77</v>
      </c>
    </row>
    <row r="55" spans="1:57">
      <c r="A55">
        <f t="shared" si="22"/>
        <v>0.61006061514892862</v>
      </c>
      <c r="S55" t="s">
        <v>180</v>
      </c>
      <c r="T55">
        <f>M6</f>
        <v>-0.29797441500483601</v>
      </c>
      <c r="Z55">
        <f t="shared" si="26"/>
        <v>-1.5079644737231064</v>
      </c>
      <c r="AA55">
        <f t="shared" si="9"/>
        <v>52</v>
      </c>
      <c r="AB55">
        <f t="shared" si="0"/>
        <v>-1.8257651994423139</v>
      </c>
      <c r="AC55">
        <f t="shared" si="3"/>
        <v>0.53139525976465385</v>
      </c>
      <c r="AD55">
        <f t="shared" si="4"/>
        <v>-2.8237919278705821</v>
      </c>
      <c r="AE55">
        <f t="shared" si="1"/>
        <v>-0.5313952597646574</v>
      </c>
      <c r="AF55">
        <f t="shared" si="10"/>
        <v>1.6336281798666938</v>
      </c>
      <c r="AJ55">
        <f t="shared" si="32"/>
        <v>3.6178013223948113</v>
      </c>
      <c r="AK55">
        <f t="shared" si="29"/>
        <v>-0.23967150531273479</v>
      </c>
      <c r="AL55">
        <f t="shared" si="30"/>
        <v>3.3818415359830634</v>
      </c>
      <c r="AO55">
        <f t="shared" si="20"/>
        <v>-1.3877787807814457E-15</v>
      </c>
      <c r="AP55">
        <f t="shared" si="33"/>
        <v>-1.5707963267948939</v>
      </c>
      <c r="AQ55">
        <f t="shared" si="34"/>
        <v>-1</v>
      </c>
      <c r="AR55">
        <f t="shared" si="39"/>
        <v>-8.1185058675714572E-16</v>
      </c>
      <c r="AS55">
        <f t="shared" si="35"/>
        <v>-1.570796326794895</v>
      </c>
      <c r="AT55">
        <f t="shared" si="36"/>
        <v>-1</v>
      </c>
      <c r="AV55">
        <f t="shared" si="21"/>
        <v>6.2831853071795916</v>
      </c>
      <c r="AW55">
        <f t="shared" si="37"/>
        <v>-0.91949948210169818</v>
      </c>
      <c r="AX55">
        <f t="shared" si="38"/>
        <v>0.32072105661882166</v>
      </c>
      <c r="BE55" t="s">
        <v>78</v>
      </c>
    </row>
    <row r="56" spans="1:57">
      <c r="A56">
        <f t="shared" si="22"/>
        <v>0.62424807131518278</v>
      </c>
      <c r="S56" t="s">
        <v>181</v>
      </c>
      <c r="T56">
        <f>SQRT(2*g*(T54-T55))</f>
        <v>0.49314211307121719</v>
      </c>
      <c r="Z56">
        <f t="shared" si="26"/>
        <v>-1.4765485471872084</v>
      </c>
      <c r="AA56">
        <f t="shared" si="9"/>
        <v>53</v>
      </c>
      <c r="AB56">
        <f t="shared" si="0"/>
        <v>-1.8112896180869607</v>
      </c>
      <c r="AC56">
        <f t="shared" si="3"/>
        <v>0.54705415665925439</v>
      </c>
      <c r="AD56">
        <f t="shared" si="4"/>
        <v>-2.8068515826900371</v>
      </c>
      <c r="AE56">
        <f t="shared" si="1"/>
        <v>-0.54705415665925783</v>
      </c>
      <c r="AF56">
        <f t="shared" si="10"/>
        <v>1.6650441064025918</v>
      </c>
      <c r="AJ56">
        <f t="shared" si="32"/>
        <v>3.6887386032260823</v>
      </c>
      <c r="AK56">
        <f t="shared" si="29"/>
        <v>-0.47344150274053159</v>
      </c>
      <c r="AL56">
        <f t="shared" si="30"/>
        <v>3.6195712072229425</v>
      </c>
      <c r="AO56">
        <f t="shared" si="20"/>
        <v>-3.1415926535899322E-2</v>
      </c>
      <c r="AP56">
        <f t="shared" si="33"/>
        <v>-1.5079748086386373</v>
      </c>
      <c r="AQ56">
        <f t="shared" si="34"/>
        <v>-0.99901312073146298</v>
      </c>
      <c r="AR56">
        <f t="shared" si="39"/>
        <v>-1.7453292519944107E-2</v>
      </c>
      <c r="AS56">
        <f t="shared" si="35"/>
        <v>-1.535891513920328</v>
      </c>
      <c r="AT56">
        <f t="shared" si="36"/>
        <v>-0.99969539031278254</v>
      </c>
      <c r="BE56" t="s">
        <v>79</v>
      </c>
    </row>
    <row r="57" spans="1:57">
      <c r="A57">
        <f t="shared" si="22"/>
        <v>0.63843552748143695</v>
      </c>
      <c r="R57" t="s">
        <v>183</v>
      </c>
      <c r="S57" t="s">
        <v>182</v>
      </c>
      <c r="T57">
        <f>T56^2/Length</f>
        <v>0.12159457184217258</v>
      </c>
      <c r="U57" t="s">
        <v>190</v>
      </c>
      <c r="V57">
        <f>-1/ATAN2(L6-L7,M6-M7)</f>
        <v>0.41062025002234154</v>
      </c>
      <c r="Z57">
        <f t="shared" si="26"/>
        <v>-1.4451326206513104</v>
      </c>
      <c r="AA57">
        <f t="shared" si="9"/>
        <v>54</v>
      </c>
      <c r="AB57">
        <f t="shared" si="0"/>
        <v>-1.7973052864633128</v>
      </c>
      <c r="AC57">
        <f t="shared" si="3"/>
        <v>0.56266661678214935</v>
      </c>
      <c r="AD57">
        <f t="shared" si="4"/>
        <v>-2.7894199877777872</v>
      </c>
      <c r="AE57">
        <f t="shared" si="1"/>
        <v>-0.5626666167821528</v>
      </c>
      <c r="AF57">
        <f t="shared" si="10"/>
        <v>1.6964600329384898</v>
      </c>
      <c r="AJ57">
        <f t="shared" si="32"/>
        <v>3.7596758840573532</v>
      </c>
      <c r="AK57">
        <f t="shared" si="29"/>
        <v>-0.69555379910859061</v>
      </c>
      <c r="AL57">
        <f t="shared" si="30"/>
        <v>3.8519905459739858</v>
      </c>
      <c r="AO57">
        <f t="shared" si="20"/>
        <v>-6.2831853071797256E-2</v>
      </c>
      <c r="AP57">
        <f t="shared" si="33"/>
        <v>-1.445215287736267</v>
      </c>
      <c r="AQ57">
        <f t="shared" si="34"/>
        <v>-0.9960534568565429</v>
      </c>
      <c r="AR57">
        <f t="shared" si="39"/>
        <v>-3.4906585039887403E-2</v>
      </c>
      <c r="AS57">
        <f t="shared" si="35"/>
        <v>-1.5009973333898929</v>
      </c>
      <c r="AT57">
        <f t="shared" si="36"/>
        <v>-0.9987816540381913</v>
      </c>
      <c r="BE57" t="s">
        <v>80</v>
      </c>
    </row>
    <row r="58" spans="1:57">
      <c r="A58">
        <f t="shared" si="22"/>
        <v>0.65262298364769111</v>
      </c>
      <c r="S58" t="s">
        <v>184</v>
      </c>
      <c r="T58">
        <f>-mass*g*SIN(ATAN2(L7-L6,M7-M6))</f>
        <v>-12.728780796907174</v>
      </c>
      <c r="V58">
        <f>DEGREES(V57)</f>
        <v>23.526807308886816</v>
      </c>
      <c r="Z58">
        <f t="shared" si="26"/>
        <v>-1.4137166941154125</v>
      </c>
      <c r="AA58">
        <f t="shared" si="9"/>
        <v>55</v>
      </c>
      <c r="AB58">
        <f t="shared" si="0"/>
        <v>-1.7838105035550333</v>
      </c>
      <c r="AC58">
        <f t="shared" si="3"/>
        <v>0.5782172325201127</v>
      </c>
      <c r="AD58">
        <f t="shared" si="4"/>
        <v>-2.7714988441501678</v>
      </c>
      <c r="AE58">
        <f t="shared" si="1"/>
        <v>-0.57821723252011614</v>
      </c>
      <c r="AF58">
        <f t="shared" si="10"/>
        <v>1.7278759594743878</v>
      </c>
      <c r="AJ58">
        <f t="shared" si="32"/>
        <v>3.8306131648886241</v>
      </c>
      <c r="AK58">
        <f t="shared" si="29"/>
        <v>-0.90053925253188616</v>
      </c>
      <c r="AL58">
        <f t="shared" si="30"/>
        <v>4.0757272245434857</v>
      </c>
      <c r="AO58">
        <f t="shared" si="20"/>
        <v>-9.424777960769519E-2</v>
      </c>
      <c r="AP58">
        <f t="shared" si="33"/>
        <v>-1.3825797001578652</v>
      </c>
      <c r="AQ58">
        <f t="shared" si="34"/>
        <v>-0.99112392920615977</v>
      </c>
      <c r="AR58">
        <f t="shared" si="39"/>
        <v>-5.2359877559830695E-2</v>
      </c>
      <c r="AS58">
        <f t="shared" si="35"/>
        <v>-1.4661244143090073</v>
      </c>
      <c r="AT58">
        <f t="shared" si="36"/>
        <v>-0.99725906950914767</v>
      </c>
      <c r="BE58" t="s">
        <v>81</v>
      </c>
    </row>
    <row r="59" spans="1:57">
      <c r="A59">
        <f t="shared" si="22"/>
        <v>0.66681043981394528</v>
      </c>
      <c r="S59" t="s">
        <v>185</v>
      </c>
      <c r="T59">
        <f>mass*T57-T58</f>
        <v>12.971969940591519</v>
      </c>
      <c r="X59">
        <v>1</v>
      </c>
      <c r="Z59">
        <f t="shared" si="26"/>
        <v>-1.3823007675795145</v>
      </c>
      <c r="AA59">
        <f t="shared" si="9"/>
        <v>56</v>
      </c>
      <c r="AB59">
        <f t="shared" si="0"/>
        <v>-1.7708030852203089</v>
      </c>
      <c r="AC59">
        <f t="shared" si="3"/>
        <v>0.59369065729285964</v>
      </c>
      <c r="AD59">
        <f t="shared" si="4"/>
        <v>-2.7530903359489942</v>
      </c>
      <c r="AE59">
        <f t="shared" si="1"/>
        <v>-0.59369065729286308</v>
      </c>
      <c r="AF59">
        <f t="shared" si="10"/>
        <v>1.7592918860102857</v>
      </c>
      <c r="AJ59">
        <f t="shared" si="32"/>
        <v>3.9015504457198951</v>
      </c>
      <c r="AK59">
        <f t="shared" si="29"/>
        <v>-1.0833504408394177</v>
      </c>
      <c r="AL59">
        <f t="shared" si="30"/>
        <v>4.2864501495444109</v>
      </c>
      <c r="AO59">
        <f t="shared" si="20"/>
        <v>-0.12566370614359312</v>
      </c>
      <c r="AP59">
        <f t="shared" si="33"/>
        <v>-1.3201298596662854</v>
      </c>
      <c r="AQ59">
        <f t="shared" si="34"/>
        <v>-0.98422940262895531</v>
      </c>
      <c r="AR59">
        <f t="shared" si="39"/>
        <v>-6.9813170079773987E-2</v>
      </c>
      <c r="AS59">
        <f t="shared" si="35"/>
        <v>-1.4312833793066444</v>
      </c>
      <c r="AT59">
        <f t="shared" si="36"/>
        <v>-0.9951281005196484</v>
      </c>
      <c r="BE59" t="s">
        <v>82</v>
      </c>
    </row>
    <row r="60" spans="1:57">
      <c r="A60">
        <f t="shared" si="22"/>
        <v>0.68099789598019944</v>
      </c>
      <c r="S60" t="s">
        <v>186</v>
      </c>
      <c r="T60" t="s">
        <v>187</v>
      </c>
      <c r="W60">
        <f>ATAN2(X59,X60)</f>
        <v>1.0471975511965976</v>
      </c>
      <c r="X60">
        <f>SQRT(3)</f>
        <v>1.7320508075688772</v>
      </c>
      <c r="Z60">
        <f t="shared" si="26"/>
        <v>-1.3508848410436165</v>
      </c>
      <c r="AA60">
        <f t="shared" si="9"/>
        <v>57</v>
      </c>
      <c r="AB60">
        <f t="shared" si="0"/>
        <v>-1.7582803663473308</v>
      </c>
      <c r="AC60">
        <f t="shared" si="3"/>
        <v>0.60907162069826859</v>
      </c>
      <c r="AD60">
        <f t="shared" si="4"/>
        <v>-2.7341971282860746</v>
      </c>
      <c r="AE60">
        <f t="shared" si="1"/>
        <v>-0.60907162069827203</v>
      </c>
      <c r="AF60">
        <f t="shared" si="10"/>
        <v>1.7907078125461837</v>
      </c>
      <c r="AJ60">
        <f t="shared" si="32"/>
        <v>3.972487726551166</v>
      </c>
      <c r="AK60">
        <f t="shared" si="29"/>
        <v>-1.2394859458595044</v>
      </c>
      <c r="AL60">
        <f t="shared" si="30"/>
        <v>4.4784229663848123</v>
      </c>
      <c r="AO60">
        <f t="shared" si="20"/>
        <v>-0.15707963267949104</v>
      </c>
      <c r="AP60">
        <f t="shared" si="33"/>
        <v>-1.257927396714432</v>
      </c>
      <c r="AQ60">
        <f t="shared" si="34"/>
        <v>-0.9753766811902751</v>
      </c>
      <c r="AR60">
        <f t="shared" si="39"/>
        <v>-8.7266462599717279E-2</v>
      </c>
      <c r="AS60">
        <f t="shared" si="35"/>
        <v>-1.3964848412995785</v>
      </c>
      <c r="AT60">
        <f t="shared" si="36"/>
        <v>-0.99238939618349087</v>
      </c>
      <c r="BE60" t="s">
        <v>83</v>
      </c>
    </row>
    <row r="61" spans="1:57">
      <c r="A61">
        <f t="shared" si="22"/>
        <v>0.69518535214645361</v>
      </c>
      <c r="S61">
        <f>IF(V57&lt;0,T59*COS(ATAN2(L6-L7,M6-M7)),-T59*COS(ATAN2(L6-L7,M6-M7)))</f>
        <v>9.8690659029208128</v>
      </c>
      <c r="T61">
        <f>IF(V57&lt;0,T59*SIN(ATAN2(L6-L7,M6-M7)),-T59*SIN(ATAN2(L6-L7,M6-M7)))</f>
        <v>8.4186425475497977</v>
      </c>
      <c r="W61">
        <f>DEGREES(W60)</f>
        <v>59.999999999999993</v>
      </c>
      <c r="Z61">
        <f t="shared" si="26"/>
        <v>-1.3194689145077185</v>
      </c>
      <c r="AA61">
        <f t="shared" si="9"/>
        <v>58</v>
      </c>
      <c r="AB61">
        <f t="shared" si="0"/>
        <v>-1.7462392034844394</v>
      </c>
      <c r="AC61">
        <f t="shared" si="3"/>
        <v>0.62434494358242476</v>
      </c>
      <c r="AD61">
        <f t="shared" si="4"/>
        <v>-2.7148223646130676</v>
      </c>
      <c r="AE61">
        <f t="shared" si="1"/>
        <v>-0.6243449435824282</v>
      </c>
      <c r="AF61">
        <f t="shared" si="10"/>
        <v>1.8221237390820817</v>
      </c>
      <c r="AJ61">
        <f t="shared" si="32"/>
        <v>4.0434250073824369</v>
      </c>
      <c r="AK61">
        <f t="shared" si="29"/>
        <v>-1.3651011932745181</v>
      </c>
      <c r="AL61">
        <f t="shared" si="30"/>
        <v>4.6440865189719016</v>
      </c>
      <c r="AO61">
        <f t="shared" si="20"/>
        <v>-0.18849555921538896</v>
      </c>
      <c r="AP61">
        <f t="shared" si="33"/>
        <v>-1.1960336976234447</v>
      </c>
      <c r="AQ61">
        <f t="shared" si="34"/>
        <v>-0.96457450145737678</v>
      </c>
      <c r="AR61">
        <f t="shared" si="39"/>
        <v>-0.10471975511966057</v>
      </c>
      <c r="AS61">
        <f t="shared" si="35"/>
        <v>-1.361739400259588</v>
      </c>
      <c r="AT61">
        <f t="shared" si="36"/>
        <v>-0.98904379073654658</v>
      </c>
      <c r="BE61" t="s">
        <v>84</v>
      </c>
    </row>
    <row r="62" spans="1:57">
      <c r="A62">
        <f t="shared" si="22"/>
        <v>0.70937280831270777</v>
      </c>
      <c r="S62">
        <f>S61/15</f>
        <v>0.65793772686138752</v>
      </c>
      <c r="T62">
        <f>T61/15</f>
        <v>0.56124283650331985</v>
      </c>
      <c r="Z62">
        <f t="shared" si="26"/>
        <v>-1.2880529879718206</v>
      </c>
      <c r="AA62">
        <f t="shared" si="9"/>
        <v>59</v>
      </c>
      <c r="AB62">
        <f t="shared" si="0"/>
        <v>-1.7346759779423344</v>
      </c>
      <c r="AC62">
        <f t="shared" si="3"/>
        <v>0.63949555301961203</v>
      </c>
      <c r="AD62">
        <f t="shared" si="4"/>
        <v>-2.6949696636192746</v>
      </c>
      <c r="AE62">
        <f t="shared" si="1"/>
        <v>-0.63949555301961536</v>
      </c>
      <c r="AF62">
        <f t="shared" si="10"/>
        <v>1.8535396656179797</v>
      </c>
      <c r="AJ62">
        <f t="shared" si="32"/>
        <v>4.1143622882137079</v>
      </c>
      <c r="AK62">
        <f t="shared" si="29"/>
        <v>-1.457103118799999</v>
      </c>
      <c r="AL62">
        <f t="shared" si="30"/>
        <v>4.7740027059237971</v>
      </c>
      <c r="AO62">
        <f t="shared" si="20"/>
        <v>-0.21991148575128688</v>
      </c>
      <c r="AP62">
        <f t="shared" si="33"/>
        <v>-1.1345098440018089</v>
      </c>
      <c r="AQ62">
        <f t="shared" si="34"/>
        <v>-0.9518335238774942</v>
      </c>
      <c r="AR62">
        <f t="shared" si="39"/>
        <v>-0.12217304763960386</v>
      </c>
      <c r="AS62">
        <f t="shared" si="35"/>
        <v>-1.3270576399845999</v>
      </c>
      <c r="AT62">
        <f t="shared" si="36"/>
        <v>-0.98509230328264397</v>
      </c>
      <c r="BE62" t="s">
        <v>85</v>
      </c>
    </row>
    <row r="63" spans="1:57">
      <c r="A63">
        <f t="shared" si="22"/>
        <v>0.72356026447896193</v>
      </c>
      <c r="S63" t="s">
        <v>188</v>
      </c>
      <c r="T63" t="s">
        <v>189</v>
      </c>
      <c r="Z63">
        <f t="shared" si="26"/>
        <v>-1.2566370614359226</v>
      </c>
      <c r="AA63">
        <f t="shared" si="9"/>
        <v>60</v>
      </c>
      <c r="AB63">
        <f t="shared" si="0"/>
        <v>-1.7235865993652801</v>
      </c>
      <c r="AC63">
        <f t="shared" si="3"/>
        <v>0.65450849718747117</v>
      </c>
      <c r="AD63">
        <f t="shared" si="4"/>
        <v>-2.6746431156604307</v>
      </c>
      <c r="AE63">
        <f t="shared" si="1"/>
        <v>-0.6545084971874745</v>
      </c>
      <c r="AF63">
        <f t="shared" si="10"/>
        <v>1.8849555921538776</v>
      </c>
      <c r="AJ63">
        <f t="shared" si="32"/>
        <v>4.1852995690449788</v>
      </c>
      <c r="AK63">
        <f t="shared" si="29"/>
        <v>-1.5132263296926229</v>
      </c>
      <c r="AL63">
        <f t="shared" si="30"/>
        <v>4.8578281355949571</v>
      </c>
      <c r="AO63">
        <f t="shared" si="20"/>
        <v>-0.2513274122871848</v>
      </c>
      <c r="AP63">
        <f t="shared" si="33"/>
        <v>-1.0734165524651844</v>
      </c>
      <c r="AQ63">
        <f t="shared" si="34"/>
        <v>-0.93716632225726149</v>
      </c>
      <c r="AR63">
        <f t="shared" si="39"/>
        <v>-0.13962634015954717</v>
      </c>
      <c r="AS63">
        <f t="shared" si="35"/>
        <v>-1.292450124874764</v>
      </c>
      <c r="AT63">
        <f t="shared" si="36"/>
        <v>-0.9805361374831405</v>
      </c>
      <c r="BE63" t="s">
        <v>86</v>
      </c>
    </row>
    <row r="64" spans="1:57">
      <c r="A64">
        <f t="shared" si="22"/>
        <v>0.7377477206452161</v>
      </c>
      <c r="S64">
        <f>L6</f>
        <v>-3.0923949657246421</v>
      </c>
      <c r="T64">
        <f>T55</f>
        <v>-0.29797441500483601</v>
      </c>
      <c r="Z64">
        <f t="shared" si="26"/>
        <v>-1.2252211349000246</v>
      </c>
      <c r="AA64">
        <f t="shared" si="9"/>
        <v>61</v>
      </c>
      <c r="AB64">
        <f t="shared" si="0"/>
        <v>-1.7129665097677953</v>
      </c>
      <c r="AC64">
        <f t="shared" si="3"/>
        <v>0.66936896012264324</v>
      </c>
      <c r="AD64">
        <f t="shared" si="4"/>
        <v>-2.6538472787220178</v>
      </c>
      <c r="AE64">
        <f t="shared" si="1"/>
        <v>-0.66936896012264646</v>
      </c>
      <c r="AF64">
        <f t="shared" si="10"/>
        <v>1.9163715186897756</v>
      </c>
      <c r="AJ64">
        <f t="shared" si="32"/>
        <v>4.2562368498762497</v>
      </c>
      <c r="AK64">
        <f t="shared" si="29"/>
        <v>-1.532088886237956</v>
      </c>
      <c r="AL64">
        <f t="shared" si="30"/>
        <v>4.8869219055841224</v>
      </c>
      <c r="AO64">
        <f t="shared" si="20"/>
        <v>-0.28274333882308272</v>
      </c>
      <c r="AP64">
        <f t="shared" si="33"/>
        <v>-1.0128141147164356</v>
      </c>
      <c r="AQ64">
        <f t="shared" si="34"/>
        <v>-0.92058737135388546</v>
      </c>
      <c r="AR64">
        <f t="shared" si="39"/>
        <v>-0.15707963267949046</v>
      </c>
      <c r="AS64">
        <f t="shared" si="35"/>
        <v>-1.2579273967144333</v>
      </c>
      <c r="AT64">
        <f t="shared" si="36"/>
        <v>-0.9753766811902751</v>
      </c>
      <c r="BE64" t="s">
        <v>87</v>
      </c>
    </row>
    <row r="65" spans="1:57">
      <c r="A65">
        <f t="shared" si="22"/>
        <v>0.75193517681147026</v>
      </c>
      <c r="S65" s="4">
        <f t="shared" ref="S65:T65" si="41">S64+S62</f>
        <v>-2.4344572388632546</v>
      </c>
      <c r="T65" s="4">
        <f t="shared" si="41"/>
        <v>0.26326842149848384</v>
      </c>
      <c r="Z65">
        <f t="shared" si="26"/>
        <v>-1.1938052083641266</v>
      </c>
      <c r="AA65">
        <f t="shared" si="9"/>
        <v>62</v>
      </c>
      <c r="AB65">
        <f t="shared" si="0"/>
        <v>-1.7028106880328333</v>
      </c>
      <c r="AC65">
        <f t="shared" si="3"/>
        <v>0.68406227634233652</v>
      </c>
      <c r="AD65">
        <f t="shared" si="4"/>
        <v>-2.632587173921082</v>
      </c>
      <c r="AE65">
        <f t="shared" si="1"/>
        <v>-0.68406227634233985</v>
      </c>
      <c r="AF65">
        <f t="shared" si="10"/>
        <v>1.9477874452256736</v>
      </c>
      <c r="AJ65">
        <f t="shared" si="32"/>
        <v>4.3271741307075207</v>
      </c>
      <c r="AK65">
        <f t="shared" si="29"/>
        <v>-1.5132263296926161</v>
      </c>
      <c r="AL65">
        <f t="shared" si="30"/>
        <v>4.8578281355949464</v>
      </c>
      <c r="AO65">
        <f t="shared" si="20"/>
        <v>-0.31415926535898064</v>
      </c>
      <c r="AP65">
        <f t="shared" si="33"/>
        <v>-0.95276233804499921</v>
      </c>
      <c r="AQ65">
        <f t="shared" si="34"/>
        <v>-0.9021130325903064</v>
      </c>
      <c r="AR65">
        <f t="shared" si="39"/>
        <v>-0.17453292519943375</v>
      </c>
      <c r="AS65">
        <f t="shared" si="35"/>
        <v>-1.2234999714610342</v>
      </c>
      <c r="AT65">
        <f t="shared" si="36"/>
        <v>-0.96961550602441582</v>
      </c>
      <c r="BE65" t="s">
        <v>88</v>
      </c>
    </row>
    <row r="66" spans="1:57">
      <c r="A66">
        <f t="shared" si="22"/>
        <v>0.76612263297772443</v>
      </c>
      <c r="S66" s="5">
        <f>-1/20*T62+18/20*S62+S64</f>
        <v>-2.5283131533745591</v>
      </c>
      <c r="T66" s="5">
        <f>1/20*S62+18/20*T62+T64</f>
        <v>0.24004102419122131</v>
      </c>
      <c r="Z66">
        <f t="shared" si="26"/>
        <v>-1.1623892818282286</v>
      </c>
      <c r="AA66">
        <f t="shared" si="9"/>
        <v>63</v>
      </c>
      <c r="AB66">
        <f t="shared" si="0"/>
        <v>-1.6931136548670191</v>
      </c>
      <c r="AC66">
        <f t="shared" si="3"/>
        <v>0.69857394531738792</v>
      </c>
      <c r="AD66">
        <f t="shared" si="4"/>
        <v>-2.6108682805509975</v>
      </c>
      <c r="AE66">
        <f t="shared" si="1"/>
        <v>-0.69857394531739114</v>
      </c>
      <c r="AF66">
        <f t="shared" si="10"/>
        <v>1.9792033717615716</v>
      </c>
      <c r="AJ66">
        <f t="shared" si="32"/>
        <v>4.3981114115387916</v>
      </c>
      <c r="AK66">
        <f t="shared" si="29"/>
        <v>-1.4571031187999841</v>
      </c>
      <c r="AL66">
        <f t="shared" si="30"/>
        <v>4.7740027059237757</v>
      </c>
      <c r="AO66">
        <f t="shared" si="20"/>
        <v>-0.34557519189487856</v>
      </c>
      <c r="AP66">
        <f t="shared" si="33"/>
        <v>-0.89332048630431138</v>
      </c>
      <c r="AQ66">
        <f t="shared" si="34"/>
        <v>-0.88176153790845002</v>
      </c>
      <c r="AR66">
        <f t="shared" si="39"/>
        <v>-0.19198621771937704</v>
      </c>
      <c r="AS66">
        <f t="shared" si="35"/>
        <v>-1.1891783360418053</v>
      </c>
      <c r="AT66">
        <f t="shared" si="36"/>
        <v>-0.96325436689532751</v>
      </c>
      <c r="BE66" t="s">
        <v>89</v>
      </c>
    </row>
    <row r="67" spans="1:57">
      <c r="A67">
        <f t="shared" si="22"/>
        <v>0.78031008914397859</v>
      </c>
      <c r="S67" s="5">
        <f>1/20*T62+18/20*S62+S64</f>
        <v>-2.4721888697242274</v>
      </c>
      <c r="T67" s="5">
        <f>-1/20*S62+18/20*T62+T64</f>
        <v>0.17424725150508252</v>
      </c>
      <c r="Z67">
        <f t="shared" si="26"/>
        <v>-1.1309733552923307</v>
      </c>
      <c r="AA67">
        <f t="shared" si="9"/>
        <v>64</v>
      </c>
      <c r="AB67">
        <f t="shared" ref="AB67:AB130" si="42">-xkathetos/2+Aktina*Z67-Aktina*SIN(Z67)</f>
        <v>-1.683869478208051</v>
      </c>
      <c r="AC67">
        <f t="shared" si="3"/>
        <v>0.712889645782534</v>
      </c>
      <c r="AD67">
        <f t="shared" ref="AD67:AD130" si="43">Aktina*(AF67-SIN(AF67))-2*PI()*Aktina</f>
        <v>-2.5886965306740679</v>
      </c>
      <c r="AE67">
        <f t="shared" ref="AE67:AE130" si="44">-Aktina*(1-COS(AF67))</f>
        <v>-0.71288964578253711</v>
      </c>
      <c r="AF67">
        <f t="shared" si="10"/>
        <v>2.0106192982974695</v>
      </c>
      <c r="AJ67">
        <f t="shared" si="32"/>
        <v>4.4690486923700625</v>
      </c>
      <c r="AK67">
        <f t="shared" si="29"/>
        <v>-1.3651011932744974</v>
      </c>
      <c r="AL67">
        <f t="shared" si="30"/>
        <v>4.6440865189718732</v>
      </c>
      <c r="AO67">
        <f t="shared" si="20"/>
        <v>-0.37699111843077648</v>
      </c>
      <c r="AP67">
        <f t="shared" si="33"/>
        <v>-0.83454722142553828</v>
      </c>
      <c r="AQ67">
        <f t="shared" si="34"/>
        <v>-0.85955297177650181</v>
      </c>
      <c r="AR67">
        <f t="shared" si="39"/>
        <v>-0.20943951023932034</v>
      </c>
      <c r="AS67">
        <f t="shared" si="35"/>
        <v>-1.1549729451593764</v>
      </c>
      <c r="AT67">
        <f t="shared" si="36"/>
        <v>-0.95629520146761093</v>
      </c>
      <c r="BE67" t="s">
        <v>90</v>
      </c>
    </row>
    <row r="68" spans="1:57">
      <c r="A68">
        <f t="shared" si="22"/>
        <v>0.79449754531023276</v>
      </c>
      <c r="S68" s="6">
        <f t="shared" ref="S68:T68" si="45">S65</f>
        <v>-2.4344572388632546</v>
      </c>
      <c r="T68" s="6">
        <f t="shared" si="45"/>
        <v>0.26326842149848384</v>
      </c>
      <c r="U68" t="s">
        <v>194</v>
      </c>
      <c r="Z68">
        <f t="shared" ref="Z68:Z99" si="46">Z67+vimaex</f>
        <v>-1.0995574287564327</v>
      </c>
      <c r="AA68">
        <f t="shared" si="9"/>
        <v>65</v>
      </c>
      <c r="AB68">
        <f t="shared" si="42"/>
        <v>-1.675071779078928</v>
      </c>
      <c r="AC68">
        <f t="shared" ref="AC68:AC131" si="47">Aktina*(1+COS(Z68))</f>
        <v>0.72699524986977115</v>
      </c>
      <c r="AD68">
        <f t="shared" si="43"/>
        <v>-2.5660783032672931</v>
      </c>
      <c r="AE68">
        <f t="shared" si="44"/>
        <v>-0.72699524986977415</v>
      </c>
      <c r="AF68">
        <f t="shared" si="10"/>
        <v>2.0420352248333673</v>
      </c>
      <c r="AJ68">
        <f t="shared" si="32"/>
        <v>4.5399859732013335</v>
      </c>
      <c r="AK68">
        <f t="shared" ref="AK68:AK99" si="48">Platoskinishs*COS(2*PI()*AJ68/Tperiod)</f>
        <v>-1.2394859458594762</v>
      </c>
      <c r="AL68">
        <f t="shared" ref="AL68:AL99" si="49">2*ACOS(AK68/(4*Aktina))</f>
        <v>4.4784229663847759</v>
      </c>
      <c r="AO68">
        <f t="shared" si="20"/>
        <v>-0.4084070449666744</v>
      </c>
      <c r="AP68">
        <f t="shared" si="33"/>
        <v>-0.77650054552533299</v>
      </c>
      <c r="AQ68">
        <f t="shared" si="34"/>
        <v>-0.83550925136796117</v>
      </c>
      <c r="AR68">
        <f t="shared" si="39"/>
        <v>-0.22689280275926363</v>
      </c>
      <c r="AS68">
        <f t="shared" si="35"/>
        <v>-1.1208942181071651</v>
      </c>
      <c r="AT68">
        <f t="shared" si="36"/>
        <v>-0.94874012957047005</v>
      </c>
      <c r="BE68" t="s">
        <v>91</v>
      </c>
    </row>
    <row r="69" spans="1:57">
      <c r="A69">
        <f t="shared" si="22"/>
        <v>0.80868500147648692</v>
      </c>
      <c r="S69" t="s">
        <v>193</v>
      </c>
      <c r="T69">
        <f>-mass*g</f>
        <v>-19.613299999999999</v>
      </c>
      <c r="U69">
        <f>S70+S61</f>
        <v>9.8690659029208128</v>
      </c>
      <c r="V69">
        <f>T69+T61</f>
        <v>-11.194657452450201</v>
      </c>
      <c r="Z69">
        <f t="shared" si="46"/>
        <v>-1.0681415022205347</v>
      </c>
      <c r="AA69">
        <f t="shared" ref="AA69:AA132" si="50">AA68+1</f>
        <v>66</v>
      </c>
      <c r="AB69">
        <f t="shared" si="42"/>
        <v>-1.6667137378832306</v>
      </c>
      <c r="AC69">
        <f t="shared" si="47"/>
        <v>0.74087683705085539</v>
      </c>
      <c r="AD69">
        <f t="shared" si="43"/>
        <v>-2.5430204179270919</v>
      </c>
      <c r="AE69">
        <f t="shared" si="44"/>
        <v>-0.74087683705085827</v>
      </c>
      <c r="AF69">
        <f t="shared" ref="AF69:AF132" si="51">AF68+2*PI()/200</f>
        <v>2.0734511513692651</v>
      </c>
      <c r="AJ69">
        <f t="shared" ref="AJ69:AJ100" si="52">AJ68+Tperiod/40</f>
        <v>4.6109232540326044</v>
      </c>
      <c r="AK69">
        <f t="shared" si="48"/>
        <v>-1.0833504408393839</v>
      </c>
      <c r="AL69">
        <f t="shared" si="49"/>
        <v>4.286450149544371</v>
      </c>
      <c r="AO69">
        <f t="shared" si="20"/>
        <v>-0.43982297150257232</v>
      </c>
      <c r="AP69">
        <f t="shared" ref="AP69:AP100" si="53">-PI()*Aktina-Length*SIN(AO69)</f>
        <v>-0.71923774366474891</v>
      </c>
      <c r="AQ69">
        <f t="shared" ref="AQ69:AQ105" si="54">2*Aktina-Length*COS(AO69)</f>
        <v>-0.80965410493203804</v>
      </c>
      <c r="AR69">
        <f t="shared" si="39"/>
        <v>-0.24434609527920692</v>
      </c>
      <c r="AS69">
        <f t="shared" ref="AS69:AS100" si="55">-PI()*Aktina-Length*SIN(AR69)</f>
        <v>-1.0869525355955596</v>
      </c>
      <c r="AT69">
        <f t="shared" ref="AT69:AT105" si="56">2*Aktina-Length*COS(AR69)</f>
        <v>-0.9405914525519925</v>
      </c>
      <c r="BE69" t="s">
        <v>92</v>
      </c>
    </row>
    <row r="70" spans="1:57">
      <c r="A70">
        <f t="shared" si="22"/>
        <v>0.82287245764274108</v>
      </c>
      <c r="S70">
        <v>0</v>
      </c>
      <c r="T70">
        <f>T69/15</f>
        <v>-1.3075533333333333</v>
      </c>
      <c r="U70">
        <f t="shared" ref="U70:V70" si="57">U69/15</f>
        <v>0.65793772686138752</v>
      </c>
      <c r="V70">
        <f t="shared" si="57"/>
        <v>-0.74631049683001338</v>
      </c>
      <c r="Z70">
        <f t="shared" si="46"/>
        <v>-1.0367255756846367</v>
      </c>
      <c r="AA70">
        <f t="shared" si="50"/>
        <v>67</v>
      </c>
      <c r="AB70">
        <f t="shared" si="42"/>
        <v>-1.6587881011352417</v>
      </c>
      <c r="AC70">
        <f t="shared" si="47"/>
        <v>0.75452070787518344</v>
      </c>
      <c r="AD70">
        <f t="shared" si="43"/>
        <v>-2.5195301281391833</v>
      </c>
      <c r="AE70">
        <f t="shared" si="44"/>
        <v>-0.75452070787518621</v>
      </c>
      <c r="AF70">
        <f t="shared" si="51"/>
        <v>2.1048670779051628</v>
      </c>
      <c r="AJ70">
        <f t="shared" si="52"/>
        <v>4.6818605348638753</v>
      </c>
      <c r="AK70">
        <f t="shared" si="48"/>
        <v>-0.9005392525318473</v>
      </c>
      <c r="AL70">
        <f t="shared" si="49"/>
        <v>4.0757272245434422</v>
      </c>
      <c r="AO70">
        <f t="shared" si="20"/>
        <v>-0.47123889803847024</v>
      </c>
      <c r="AP70">
        <f t="shared" si="53"/>
        <v>-0.66281532731580073</v>
      </c>
      <c r="AQ70">
        <f t="shared" si="54"/>
        <v>-0.78201304837673469</v>
      </c>
      <c r="AR70">
        <f t="shared" ref="AR70:AR105" si="58">AR69-DGON</f>
        <v>-0.26179938779915024</v>
      </c>
      <c r="AS70">
        <f t="shared" si="55"/>
        <v>-1.0531582365898535</v>
      </c>
      <c r="AT70">
        <f t="shared" si="56"/>
        <v>-0.93185165257813618</v>
      </c>
      <c r="BE70" t="s">
        <v>93</v>
      </c>
    </row>
    <row r="71" spans="1:57">
      <c r="A71">
        <f t="shared" si="22"/>
        <v>0.83705991380899525</v>
      </c>
      <c r="S71" t="s">
        <v>191</v>
      </c>
      <c r="T71" t="s">
        <v>192</v>
      </c>
      <c r="U71" t="s">
        <v>195</v>
      </c>
      <c r="V71" t="s">
        <v>196</v>
      </c>
      <c r="Z71">
        <f t="shared" si="46"/>
        <v>-1.0053096491487388</v>
      </c>
      <c r="AA71">
        <f t="shared" si="50"/>
        <v>68</v>
      </c>
      <c r="AB71">
        <f t="shared" si="42"/>
        <v>-1.651287188618257</v>
      </c>
      <c r="AC71">
        <f t="shared" si="47"/>
        <v>0.76791339748949627</v>
      </c>
      <c r="AD71">
        <f t="shared" si="43"/>
        <v>-2.49561511412027</v>
      </c>
      <c r="AE71">
        <f t="shared" si="44"/>
        <v>-0.76791339748949872</v>
      </c>
      <c r="AF71">
        <f t="shared" si="51"/>
        <v>2.1362830044410606</v>
      </c>
      <c r="AJ71">
        <f t="shared" si="52"/>
        <v>4.7527978156951463</v>
      </c>
      <c r="AK71">
        <f t="shared" si="48"/>
        <v>-0.69555379910855042</v>
      </c>
      <c r="AL71">
        <f t="shared" si="49"/>
        <v>3.8519905459739432</v>
      </c>
      <c r="AO71">
        <f t="shared" ref="AO71:AO105" si="59">AO70-PI()/2/50</f>
        <v>-0.50265482457436816</v>
      </c>
      <c r="AP71">
        <f t="shared" si="53"/>
        <v>-0.6072889785914638</v>
      </c>
      <c r="AQ71">
        <f t="shared" si="54"/>
        <v>-0.75261336008772606</v>
      </c>
      <c r="AR71">
        <f t="shared" si="58"/>
        <v>-0.27925268031909356</v>
      </c>
      <c r="AS71">
        <f t="shared" si="55"/>
        <v>-1.0195216151608966</v>
      </c>
      <c r="AT71">
        <f t="shared" si="56"/>
        <v>-0.92252339187663734</v>
      </c>
      <c r="BE71" t="s">
        <v>81</v>
      </c>
    </row>
    <row r="72" spans="1:57">
      <c r="A72">
        <f t="shared" si="22"/>
        <v>0.85124736997524941</v>
      </c>
      <c r="S72" s="3">
        <f>L6</f>
        <v>-3.0923949657246421</v>
      </c>
      <c r="T72" s="3">
        <f>M6</f>
        <v>-0.29797441500483601</v>
      </c>
      <c r="U72" s="3">
        <f>L6</f>
        <v>-3.0923949657246421</v>
      </c>
      <c r="V72" s="3">
        <f>M6</f>
        <v>-0.29797441500483601</v>
      </c>
      <c r="Z72">
        <f t="shared" si="46"/>
        <v>-0.9738937226128408</v>
      </c>
      <c r="AA72">
        <f t="shared" si="50"/>
        <v>69</v>
      </c>
      <c r="AB72">
        <f t="shared" si="42"/>
        <v>-1.6442029009640349</v>
      </c>
      <c r="AC72">
        <f t="shared" si="47"/>
        <v>0.78104168892606329</v>
      </c>
      <c r="AD72">
        <f t="shared" si="43"/>
        <v>-2.4712834752385948</v>
      </c>
      <c r="AE72">
        <f t="shared" si="44"/>
        <v>-0.78104168892606562</v>
      </c>
      <c r="AF72">
        <f t="shared" si="51"/>
        <v>2.1676989309769583</v>
      </c>
      <c r="AJ72">
        <f t="shared" si="52"/>
        <v>4.8237350965264172</v>
      </c>
      <c r="AK72">
        <f t="shared" si="48"/>
        <v>-0.47344150274048608</v>
      </c>
      <c r="AL72">
        <f t="shared" si="49"/>
        <v>3.6195712072228954</v>
      </c>
      <c r="AO72">
        <f t="shared" si="59"/>
        <v>-0.53407075111026614</v>
      </c>
      <c r="AP72">
        <f t="shared" si="53"/>
        <v>-0.5527134952941517</v>
      </c>
      <c r="AQ72">
        <f t="shared" si="54"/>
        <v>-0.72148405400788596</v>
      </c>
      <c r="AR72">
        <f t="shared" si="58"/>
        <v>-0.29670597283903688</v>
      </c>
      <c r="AS72">
        <f t="shared" si="55"/>
        <v>-0.98605291734942146</v>
      </c>
      <c r="AT72">
        <f t="shared" si="56"/>
        <v>-0.91260951192607043</v>
      </c>
      <c r="BE72" t="s">
        <v>94</v>
      </c>
    </row>
    <row r="73" spans="1:57">
      <c r="A73">
        <f t="shared" si="22"/>
        <v>0.86543482614150358</v>
      </c>
      <c r="S73" s="4">
        <f t="shared" ref="S73:V73" si="60">S72+S70</f>
        <v>-3.0923949657246421</v>
      </c>
      <c r="T73" s="4">
        <f t="shared" si="60"/>
        <v>-1.6055277483381694</v>
      </c>
      <c r="U73" s="4">
        <f t="shared" si="60"/>
        <v>-2.4344572388632546</v>
      </c>
      <c r="V73" s="4">
        <f t="shared" si="60"/>
        <v>-1.0442849118348494</v>
      </c>
      <c r="Z73">
        <f t="shared" si="46"/>
        <v>-0.94247779607694282</v>
      </c>
      <c r="AA73">
        <f t="shared" si="50"/>
        <v>70</v>
      </c>
      <c r="AB73">
        <f t="shared" si="42"/>
        <v>-1.6375267276458931</v>
      </c>
      <c r="AC73">
        <f t="shared" si="47"/>
        <v>0.79389262614623468</v>
      </c>
      <c r="AD73">
        <f t="shared" si="43"/>
        <v>-2.4465437220208388</v>
      </c>
      <c r="AE73">
        <f t="shared" si="44"/>
        <v>-0.7938926261462369</v>
      </c>
      <c r="AF73">
        <f t="shared" si="51"/>
        <v>2.1991148575128561</v>
      </c>
      <c r="AJ73">
        <f t="shared" si="52"/>
        <v>4.8946723773576881</v>
      </c>
      <c r="AK73">
        <f t="shared" si="48"/>
        <v>-0.23967150531268749</v>
      </c>
      <c r="AL73">
        <f t="shared" si="49"/>
        <v>3.3818415359830154</v>
      </c>
      <c r="AO73">
        <f t="shared" si="59"/>
        <v>-0.56548667764616412</v>
      </c>
      <c r="AP73">
        <f t="shared" si="53"/>
        <v>-0.49914273683690102</v>
      </c>
      <c r="AQ73">
        <f t="shared" si="54"/>
        <v>-0.68865585100402882</v>
      </c>
      <c r="AR73">
        <f t="shared" si="58"/>
        <v>-0.3141592653589802</v>
      </c>
      <c r="AS73">
        <f t="shared" si="55"/>
        <v>-0.95276233804499999</v>
      </c>
      <c r="AT73">
        <f t="shared" si="56"/>
        <v>-0.90211303259030662</v>
      </c>
      <c r="BE73" t="s">
        <v>95</v>
      </c>
    </row>
    <row r="74" spans="1:57">
      <c r="A74">
        <f t="shared" si="22"/>
        <v>0.87962228230775774</v>
      </c>
      <c r="S74" s="5">
        <f>-1/20*T70+18/20*S70+S72</f>
        <v>-3.0270172990579756</v>
      </c>
      <c r="T74" s="5">
        <f>1/20*S70+18/20*T70+T72</f>
        <v>-1.474772415004836</v>
      </c>
      <c r="U74" s="5">
        <f>-1/20*V70+18/20*U70+U72</f>
        <v>-2.4629354867078925</v>
      </c>
      <c r="V74" s="5">
        <f>1/20*U70+18/20*V70+V72</f>
        <v>-0.9367569758087787</v>
      </c>
      <c r="Z74">
        <f t="shared" si="46"/>
        <v>-0.91106186954104484</v>
      </c>
      <c r="AA74">
        <f t="shared" si="50"/>
        <v>71</v>
      </c>
      <c r="AB74">
        <f t="shared" si="42"/>
        <v>-1.6312497553775722</v>
      </c>
      <c r="AC74">
        <f t="shared" si="47"/>
        <v>0.8064535268264863</v>
      </c>
      <c r="AD74">
        <f t="shared" si="43"/>
        <v>-2.4214047677532613</v>
      </c>
      <c r="AE74">
        <f t="shared" si="44"/>
        <v>-0.80645352682648852</v>
      </c>
      <c r="AF74">
        <f t="shared" si="51"/>
        <v>2.2305307840487538</v>
      </c>
      <c r="AJ74">
        <f t="shared" si="52"/>
        <v>4.9656096581889591</v>
      </c>
      <c r="AK74">
        <f t="shared" si="48"/>
        <v>3.2001476143539883E-14</v>
      </c>
      <c r="AL74">
        <f t="shared" si="49"/>
        <v>3.1415926535897611</v>
      </c>
      <c r="AO74">
        <f t="shared" si="59"/>
        <v>-0.59690260418206209</v>
      </c>
      <c r="AP74">
        <f t="shared" si="53"/>
        <v>-0.44662957109063317</v>
      </c>
      <c r="AQ74">
        <f t="shared" si="54"/>
        <v>-0.65416114854912211</v>
      </c>
      <c r="AR74">
        <f t="shared" si="58"/>
        <v>-0.33161255787892352</v>
      </c>
      <c r="AS74">
        <f t="shared" si="55"/>
        <v>-0.91966001788058149</v>
      </c>
      <c r="AT74">
        <f t="shared" si="56"/>
        <v>-0.89103715119863303</v>
      </c>
      <c r="BE74" t="s">
        <v>96</v>
      </c>
    </row>
    <row r="75" spans="1:57">
      <c r="A75">
        <f t="shared" si="22"/>
        <v>0.89380973847401191</v>
      </c>
      <c r="S75" s="5">
        <f>1/20*T70+18/20*S70+S72</f>
        <v>-3.1577726323913087</v>
      </c>
      <c r="T75" s="5">
        <f>-1/20*S70+18/20*T70+T72</f>
        <v>-1.474772415004836</v>
      </c>
      <c r="U75" s="5">
        <f>1/20*V70+18/20*U70+U72</f>
        <v>-2.5375665363908939</v>
      </c>
      <c r="V75" s="5">
        <f>-1/20*U70+18/20*V70+V72</f>
        <v>-1.0025507484949174</v>
      </c>
      <c r="Z75">
        <f t="shared" si="46"/>
        <v>-0.87964594300514687</v>
      </c>
      <c r="AA75">
        <f t="shared" si="50"/>
        <v>72</v>
      </c>
      <c r="AB75">
        <f t="shared" si="42"/>
        <v>-1.6253626769095739</v>
      </c>
      <c r="AC75">
        <f t="shared" si="47"/>
        <v>0.8187119948743431</v>
      </c>
      <c r="AD75">
        <f t="shared" si="43"/>
        <v>-2.3958759196853618</v>
      </c>
      <c r="AE75">
        <f t="shared" si="44"/>
        <v>-0.81871199487434509</v>
      </c>
      <c r="AF75">
        <f t="shared" si="51"/>
        <v>2.2619467105846516</v>
      </c>
      <c r="AJ75">
        <f t="shared" si="52"/>
        <v>5.03654693902023</v>
      </c>
      <c r="AK75">
        <f t="shared" si="48"/>
        <v>0.23967150531274803</v>
      </c>
      <c r="AL75">
        <f t="shared" si="49"/>
        <v>2.9013437711965095</v>
      </c>
      <c r="AO75">
        <f t="shared" si="59"/>
        <v>-0.62831853071796007</v>
      </c>
      <c r="AP75">
        <f t="shared" si="53"/>
        <v>-0.39522582220994806</v>
      </c>
      <c r="AQ75">
        <f t="shared" si="54"/>
        <v>-0.61803398874989313</v>
      </c>
      <c r="AR75">
        <f t="shared" si="58"/>
        <v>-0.34906585039886684</v>
      </c>
      <c r="AS75">
        <f t="shared" si="55"/>
        <v>-0.88675604014355736</v>
      </c>
      <c r="AT75">
        <f t="shared" si="56"/>
        <v>-0.87938524157181619</v>
      </c>
      <c r="BE75" t="s">
        <v>97</v>
      </c>
    </row>
    <row r="76" spans="1:57">
      <c r="A76">
        <f t="shared" si="22"/>
        <v>0.90799719464026607</v>
      </c>
      <c r="S76" s="6">
        <f t="shared" ref="S76:V76" si="61">S73</f>
        <v>-3.0923949657246421</v>
      </c>
      <c r="T76" s="6">
        <f t="shared" si="61"/>
        <v>-1.6055277483381694</v>
      </c>
      <c r="U76" s="6">
        <f t="shared" si="61"/>
        <v>-2.4344572388632546</v>
      </c>
      <c r="V76" s="6">
        <f t="shared" si="61"/>
        <v>-1.0442849118348494</v>
      </c>
      <c r="Z76">
        <f t="shared" si="46"/>
        <v>-0.84823001646924889</v>
      </c>
      <c r="AA76">
        <f t="shared" si="50"/>
        <v>73</v>
      </c>
      <c r="AB76">
        <f t="shared" si="42"/>
        <v>-1.6198558002142898</v>
      </c>
      <c r="AC76">
        <f t="shared" si="47"/>
        <v>0.83065593266182414</v>
      </c>
      <c r="AD76">
        <f t="shared" si="43"/>
        <v>-2.369966869844748</v>
      </c>
      <c r="AE76">
        <f t="shared" si="44"/>
        <v>-0.83065593266182602</v>
      </c>
      <c r="AF76">
        <f t="shared" si="51"/>
        <v>2.2933626371205493</v>
      </c>
      <c r="AJ76">
        <f t="shared" si="52"/>
        <v>5.1074842198515009</v>
      </c>
      <c r="AK76">
        <f t="shared" si="48"/>
        <v>0.47344150274054697</v>
      </c>
      <c r="AL76">
        <f t="shared" si="49"/>
        <v>2.6636140999566278</v>
      </c>
      <c r="AO76">
        <f t="shared" si="59"/>
        <v>-0.65973445725385804</v>
      </c>
      <c r="AP76">
        <f t="shared" si="53"/>
        <v>-0.34498221948894137</v>
      </c>
      <c r="AQ76">
        <f t="shared" si="54"/>
        <v>-0.58031002475137883</v>
      </c>
      <c r="AR76">
        <f t="shared" si="58"/>
        <v>-0.36651914291881016</v>
      </c>
      <c r="AS76">
        <f t="shared" si="55"/>
        <v>-0.85406042770429424</v>
      </c>
      <c r="AT76">
        <f t="shared" si="56"/>
        <v>-0.86716085299440282</v>
      </c>
      <c r="BE76" t="s">
        <v>86</v>
      </c>
    </row>
    <row r="77" spans="1:57">
      <c r="A77">
        <f t="shared" ref="A77:A140" si="62">A76+dt</f>
        <v>0.92218465080652023</v>
      </c>
      <c r="Z77">
        <f t="shared" si="46"/>
        <v>-0.81681408993335092</v>
      </c>
      <c r="AA77">
        <f t="shared" si="50"/>
        <v>74</v>
      </c>
      <c r="AB77">
        <f t="shared" si="42"/>
        <v>-1.6147190580508646</v>
      </c>
      <c r="AC77">
        <f t="shared" si="47"/>
        <v>0.84227355296434259</v>
      </c>
      <c r="AD77">
        <f t="shared" si="43"/>
        <v>-2.3436876854722755</v>
      </c>
      <c r="AE77">
        <f t="shared" si="44"/>
        <v>-0.84227355296434436</v>
      </c>
      <c r="AF77">
        <f t="shared" si="51"/>
        <v>2.3247785636564471</v>
      </c>
      <c r="AJ77">
        <f t="shared" si="52"/>
        <v>5.1784215006827718</v>
      </c>
      <c r="AK77">
        <f t="shared" si="48"/>
        <v>0.69555379910860504</v>
      </c>
      <c r="AL77">
        <f t="shared" si="49"/>
        <v>2.4311947612055849</v>
      </c>
      <c r="AO77">
        <f t="shared" si="59"/>
        <v>-0.69115038378975602</v>
      </c>
      <c r="AP77">
        <f t="shared" si="53"/>
        <v>-0.29594834729751485</v>
      </c>
      <c r="AQ77">
        <f t="shared" si="54"/>
        <v>-0.54102648555157651</v>
      </c>
      <c r="AR77">
        <f t="shared" si="58"/>
        <v>-0.38397243543875348</v>
      </c>
      <c r="AS77">
        <f t="shared" si="55"/>
        <v>-0.82158313996307064</v>
      </c>
      <c r="AT77">
        <f t="shared" si="56"/>
        <v>-0.85436770913357418</v>
      </c>
      <c r="BE77" t="s">
        <v>87</v>
      </c>
    </row>
    <row r="78" spans="1:57">
      <c r="A78">
        <f t="shared" si="62"/>
        <v>0.9363721069727744</v>
      </c>
      <c r="Z78">
        <f t="shared" si="46"/>
        <v>-0.78539816339745294</v>
      </c>
      <c r="AA78">
        <f t="shared" si="50"/>
        <v>75</v>
      </c>
      <c r="AB78">
        <f t="shared" si="42"/>
        <v>-1.6099420179003476</v>
      </c>
      <c r="AC78">
        <f t="shared" si="47"/>
        <v>0.85355339059327218</v>
      </c>
      <c r="AD78">
        <f t="shared" si="43"/>
        <v>-2.3170487990868942</v>
      </c>
      <c r="AE78">
        <f t="shared" si="44"/>
        <v>-0.85355339059327373</v>
      </c>
      <c r="AF78">
        <f t="shared" si="51"/>
        <v>2.3561944901923448</v>
      </c>
      <c r="AJ78">
        <f t="shared" si="52"/>
        <v>5.2493587815140428</v>
      </c>
      <c r="AK78">
        <f t="shared" si="48"/>
        <v>0.90053925253189926</v>
      </c>
      <c r="AL78">
        <f t="shared" si="49"/>
        <v>2.2074580826360859</v>
      </c>
      <c r="AO78">
        <f t="shared" si="59"/>
        <v>-0.72256631032565399</v>
      </c>
      <c r="AP78">
        <f t="shared" si="53"/>
        <v>-0.24817259614759046</v>
      </c>
      <c r="AQ78">
        <f t="shared" si="54"/>
        <v>-0.50022213926091696</v>
      </c>
      <c r="AR78">
        <f t="shared" si="58"/>
        <v>-0.4014257279586968</v>
      </c>
      <c r="AS78">
        <f t="shared" si="55"/>
        <v>-0.78933406981634724</v>
      </c>
      <c r="AT78">
        <f t="shared" si="56"/>
        <v>-0.84100970690487986</v>
      </c>
      <c r="BE78" t="s">
        <v>88</v>
      </c>
    </row>
    <row r="79" spans="1:57">
      <c r="A79">
        <f t="shared" si="62"/>
        <v>0.95055956313902856</v>
      </c>
      <c r="Z79">
        <f t="shared" si="46"/>
        <v>-0.75398223686155497</v>
      </c>
      <c r="AA79">
        <f t="shared" si="50"/>
        <v>76</v>
      </c>
      <c r="AB79">
        <f t="shared" si="42"/>
        <v>-1.6055138922613281</v>
      </c>
      <c r="AC79">
        <f t="shared" si="47"/>
        <v>0.86448431371070411</v>
      </c>
      <c r="AD79">
        <f t="shared" si="43"/>
        <v>-2.2900609981900164</v>
      </c>
      <c r="AE79">
        <f t="shared" si="44"/>
        <v>-0.86448431371070567</v>
      </c>
      <c r="AF79">
        <f t="shared" si="51"/>
        <v>2.3876104167282426</v>
      </c>
      <c r="AJ79">
        <f t="shared" si="52"/>
        <v>5.3202960623453137</v>
      </c>
      <c r="AK79">
        <f t="shared" si="48"/>
        <v>1.0833504408394272</v>
      </c>
      <c r="AL79">
        <f t="shared" si="49"/>
        <v>1.996735157635164</v>
      </c>
      <c r="AO79">
        <f t="shared" si="59"/>
        <v>-0.75398223686155197</v>
      </c>
      <c r="AP79">
        <f t="shared" si="53"/>
        <v>-0.20170211493751689</v>
      </c>
      <c r="AQ79">
        <f t="shared" si="54"/>
        <v>-0.45793725484282088</v>
      </c>
      <c r="AR79">
        <f t="shared" si="58"/>
        <v>-0.41887902047864012</v>
      </c>
      <c r="AS79">
        <f t="shared" si="55"/>
        <v>-0.75732304064329425</v>
      </c>
      <c r="AT79">
        <f t="shared" si="56"/>
        <v>-0.82709091528520107</v>
      </c>
      <c r="BE79" t="s">
        <v>89</v>
      </c>
    </row>
    <row r="80" spans="1:57">
      <c r="A80">
        <f t="shared" si="62"/>
        <v>0.96474701930528273</v>
      </c>
      <c r="Z80">
        <f t="shared" si="46"/>
        <v>-0.72256631032565699</v>
      </c>
      <c r="AA80">
        <f t="shared" si="50"/>
        <v>77</v>
      </c>
      <c r="AB80">
        <f t="shared" si="42"/>
        <v>-1.6014235492958975</v>
      </c>
      <c r="AC80">
        <f t="shared" si="47"/>
        <v>0.87505553481522824</v>
      </c>
      <c r="AD80">
        <f t="shared" si="43"/>
        <v>-2.2627354146195491</v>
      </c>
      <c r="AE80">
        <f t="shared" si="44"/>
        <v>-0.87505553481522957</v>
      </c>
      <c r="AF80">
        <f t="shared" si="51"/>
        <v>2.4190263432641403</v>
      </c>
      <c r="AJ80">
        <f t="shared" si="52"/>
        <v>5.3912333431765846</v>
      </c>
      <c r="AK80">
        <f t="shared" si="48"/>
        <v>1.239485945859514</v>
      </c>
      <c r="AL80">
        <f t="shared" si="49"/>
        <v>1.8047623407947624</v>
      </c>
      <c r="AO80">
        <f t="shared" si="59"/>
        <v>-0.78539816339744994</v>
      </c>
      <c r="AP80">
        <f t="shared" si="53"/>
        <v>-0.15658276442179919</v>
      </c>
      <c r="AQ80">
        <f t="shared" si="54"/>
        <v>-0.4142135623730927</v>
      </c>
      <c r="AR80">
        <f t="shared" si="58"/>
        <v>-0.43633231299858344</v>
      </c>
      <c r="AS80">
        <f t="shared" si="55"/>
        <v>-0.72555980331349579</v>
      </c>
      <c r="AT80">
        <f t="shared" si="56"/>
        <v>-0.81261557407329899</v>
      </c>
      <c r="BE80" t="s">
        <v>90</v>
      </c>
    </row>
    <row r="81" spans="1:57">
      <c r="A81">
        <f t="shared" si="62"/>
        <v>0.97893447547153689</v>
      </c>
      <c r="Z81">
        <f t="shared" si="46"/>
        <v>-0.69115038378975902</v>
      </c>
      <c r="AA81">
        <f t="shared" si="50"/>
        <v>78</v>
      </c>
      <c r="AB81">
        <f t="shared" si="42"/>
        <v>-1.5976595238154294</v>
      </c>
      <c r="AC81">
        <f t="shared" si="47"/>
        <v>0.88525662138789318</v>
      </c>
      <c r="AD81">
        <f t="shared" si="43"/>
        <v>-2.2350835135641192</v>
      </c>
      <c r="AE81">
        <f t="shared" si="44"/>
        <v>-0.8852566213878944</v>
      </c>
      <c r="AF81">
        <f t="shared" si="51"/>
        <v>2.4504422698000381</v>
      </c>
      <c r="AJ81">
        <f t="shared" si="52"/>
        <v>5.4621706240078556</v>
      </c>
      <c r="AK81">
        <f t="shared" si="48"/>
        <v>1.3651011932745254</v>
      </c>
      <c r="AL81">
        <f t="shared" si="49"/>
        <v>1.6390987882076753</v>
      </c>
      <c r="AO81">
        <f t="shared" si="59"/>
        <v>-0.81681408993334792</v>
      </c>
      <c r="AP81">
        <f t="shared" si="53"/>
        <v>-0.11285907195207123</v>
      </c>
      <c r="AQ81">
        <f t="shared" si="54"/>
        <v>-0.36909421185737501</v>
      </c>
      <c r="AR81">
        <f t="shared" si="58"/>
        <v>-0.45378560551852676</v>
      </c>
      <c r="AS81">
        <f t="shared" si="55"/>
        <v>-0.69405403321673975</v>
      </c>
      <c r="AT81">
        <f t="shared" si="56"/>
        <v>-0.79758809259833297</v>
      </c>
      <c r="BE81" t="s">
        <v>98</v>
      </c>
    </row>
    <row r="82" spans="1:57">
      <c r="A82">
        <f t="shared" si="62"/>
        <v>0.99312193163779106</v>
      </c>
      <c r="Z82">
        <f t="shared" si="46"/>
        <v>-0.65973445725386104</v>
      </c>
      <c r="AA82">
        <f t="shared" si="50"/>
        <v>79</v>
      </c>
      <c r="AB82">
        <f t="shared" si="42"/>
        <v>-1.5942100285953369</v>
      </c>
      <c r="AC82">
        <f t="shared" si="47"/>
        <v>0.89507750618784376</v>
      </c>
      <c r="AD82">
        <f t="shared" si="43"/>
        <v>-2.2071170822483137</v>
      </c>
      <c r="AE82">
        <f t="shared" si="44"/>
        <v>-0.89507750618784487</v>
      </c>
      <c r="AF82">
        <f t="shared" si="51"/>
        <v>2.4818581963359359</v>
      </c>
      <c r="AJ82">
        <f t="shared" si="52"/>
        <v>5.5331079048391265</v>
      </c>
      <c r="AK82">
        <f t="shared" si="48"/>
        <v>1.4571031188000039</v>
      </c>
      <c r="AL82">
        <f t="shared" si="49"/>
        <v>1.5091826012557816</v>
      </c>
      <c r="AO82">
        <f t="shared" si="59"/>
        <v>-0.8482300164692459</v>
      </c>
      <c r="AP82">
        <f t="shared" si="53"/>
        <v>-7.0574187533975152E-2</v>
      </c>
      <c r="AQ82">
        <f t="shared" si="54"/>
        <v>-0.32262373064730121</v>
      </c>
      <c r="AR82">
        <f t="shared" si="58"/>
        <v>-0.47123889803847008</v>
      </c>
      <c r="AS82">
        <f t="shared" si="55"/>
        <v>-0.66281532731580106</v>
      </c>
      <c r="AT82">
        <f t="shared" si="56"/>
        <v>-0.78201304837673469</v>
      </c>
      <c r="BE82" t="s">
        <v>92</v>
      </c>
    </row>
    <row r="83" spans="1:57">
      <c r="A83">
        <f t="shared" si="62"/>
        <v>1.0073093878040451</v>
      </c>
      <c r="Z83">
        <f t="shared" si="46"/>
        <v>-0.62831853071796306</v>
      </c>
      <c r="AA83">
        <f t="shared" si="50"/>
        <v>80</v>
      </c>
      <c r="AB83">
        <f t="shared" si="42"/>
        <v>-1.5910629660076396</v>
      </c>
      <c r="AC83">
        <f t="shared" si="47"/>
        <v>0.90450849718747239</v>
      </c>
      <c r="AD83">
        <f t="shared" si="43"/>
        <v>-2.1788482183001134</v>
      </c>
      <c r="AE83">
        <f t="shared" si="44"/>
        <v>-0.9045084971874735</v>
      </c>
      <c r="AF83">
        <f t="shared" si="51"/>
        <v>2.5132741228718336</v>
      </c>
      <c r="AJ83">
        <f t="shared" si="52"/>
        <v>5.6040451856703974</v>
      </c>
      <c r="AK83">
        <f t="shared" si="48"/>
        <v>1.5132263296926252</v>
      </c>
      <c r="AL83">
        <f t="shared" si="49"/>
        <v>1.4253571715846258</v>
      </c>
      <c r="AO83">
        <f t="shared" si="59"/>
        <v>-0.87964594300514387</v>
      </c>
      <c r="AP83">
        <f t="shared" si="53"/>
        <v>-2.9769841243315831E-2</v>
      </c>
      <c r="AQ83">
        <f t="shared" si="54"/>
        <v>-0.2748479794973766</v>
      </c>
      <c r="AR83">
        <f t="shared" si="58"/>
        <v>-0.4886921905584134</v>
      </c>
      <c r="AS83">
        <f t="shared" si="55"/>
        <v>-0.63185320122311306</v>
      </c>
      <c r="AT83">
        <f t="shared" si="56"/>
        <v>-0.76589518571785287</v>
      </c>
      <c r="BE83" t="s">
        <v>93</v>
      </c>
    </row>
    <row r="84" spans="1:57">
      <c r="A84">
        <f t="shared" si="62"/>
        <v>1.0214968439702992</v>
      </c>
      <c r="Z84">
        <f t="shared" si="46"/>
        <v>-0.59690260418206509</v>
      </c>
      <c r="AA84">
        <f t="shared" si="50"/>
        <v>81</v>
      </c>
      <c r="AB84">
        <f t="shared" si="42"/>
        <v>-1.588205939959862</v>
      </c>
      <c r="AC84">
        <f t="shared" si="47"/>
        <v>0.91354028713727975</v>
      </c>
      <c r="AD84">
        <f t="shared" si="43"/>
        <v>-2.1502893178119935</v>
      </c>
      <c r="AE84">
        <f t="shared" si="44"/>
        <v>-0.91354028713728064</v>
      </c>
      <c r="AF84">
        <f t="shared" si="51"/>
        <v>2.5446900494077314</v>
      </c>
      <c r="AJ84">
        <f t="shared" si="52"/>
        <v>5.6749824665016684</v>
      </c>
      <c r="AK84">
        <f t="shared" si="48"/>
        <v>1.532088886237956</v>
      </c>
      <c r="AL84">
        <f t="shared" si="49"/>
        <v>1.3962634015954638</v>
      </c>
      <c r="AO84">
        <f t="shared" si="59"/>
        <v>-0.91106186954104185</v>
      </c>
      <c r="AP84">
        <f t="shared" si="53"/>
        <v>9.5136979564864887E-3</v>
      </c>
      <c r="AQ84">
        <f t="shared" si="54"/>
        <v>-0.22581410730595008</v>
      </c>
      <c r="AR84">
        <f t="shared" si="58"/>
        <v>-0.50614548307835672</v>
      </c>
      <c r="AS84">
        <f t="shared" si="55"/>
        <v>-0.60117708630222055</v>
      </c>
      <c r="AT84">
        <f t="shared" si="56"/>
        <v>-0.74923941427879059</v>
      </c>
      <c r="BE84" t="s">
        <v>81</v>
      </c>
    </row>
    <row r="85" spans="1:57">
      <c r="A85">
        <f t="shared" si="62"/>
        <v>1.0356843001365532</v>
      </c>
      <c r="Z85">
        <f t="shared" si="46"/>
        <v>-0.56548667764616711</v>
      </c>
      <c r="AA85">
        <f t="shared" si="50"/>
        <v>82</v>
      </c>
      <c r="AB85">
        <f t="shared" si="42"/>
        <v>-1.5856262681284798</v>
      </c>
      <c r="AC85">
        <f t="shared" si="47"/>
        <v>0.92216396275100632</v>
      </c>
      <c r="AD85">
        <f t="shared" si="43"/>
        <v>-2.1214530631074773</v>
      </c>
      <c r="AE85">
        <f t="shared" si="44"/>
        <v>-0.9221639627510072</v>
      </c>
      <c r="AF85">
        <f t="shared" si="51"/>
        <v>2.5761059759436291</v>
      </c>
      <c r="AJ85">
        <f t="shared" si="52"/>
        <v>5.7459197473329393</v>
      </c>
      <c r="AK85">
        <f t="shared" si="48"/>
        <v>1.5132263296926134</v>
      </c>
      <c r="AL85">
        <f t="shared" si="49"/>
        <v>1.4253571715846436</v>
      </c>
      <c r="AO85">
        <f t="shared" si="59"/>
        <v>-0.94247779607693982</v>
      </c>
      <c r="AP85">
        <f t="shared" si="53"/>
        <v>4.7237661955000565E-2</v>
      </c>
      <c r="AQ85">
        <f t="shared" si="54"/>
        <v>-0.17557050458494317</v>
      </c>
      <c r="AR85">
        <f t="shared" si="58"/>
        <v>-0.52359877559830004</v>
      </c>
      <c r="AS85">
        <f t="shared" si="55"/>
        <v>-0.57079632679489456</v>
      </c>
      <c r="AT85">
        <f t="shared" si="56"/>
        <v>-0.73205080756887608</v>
      </c>
      <c r="BE85" t="s">
        <v>94</v>
      </c>
    </row>
    <row r="86" spans="1:57">
      <c r="A86">
        <f t="shared" si="62"/>
        <v>1.0498717563028073</v>
      </c>
      <c r="Z86">
        <f t="shared" si="46"/>
        <v>-0.53407075111026914</v>
      </c>
      <c r="AA86">
        <f t="shared" si="50"/>
        <v>83</v>
      </c>
      <c r="AB86">
        <f t="shared" si="42"/>
        <v>-1.5833109944748436</v>
      </c>
      <c r="AC86">
        <f t="shared" si="47"/>
        <v>0.93037101350197071</v>
      </c>
      <c r="AD86">
        <f t="shared" si="43"/>
        <v>-2.092352410225216</v>
      </c>
      <c r="AE86">
        <f t="shared" si="44"/>
        <v>-0.93037101350197138</v>
      </c>
      <c r="AF86">
        <f t="shared" si="51"/>
        <v>2.6075219024795269</v>
      </c>
      <c r="AJ86">
        <f t="shared" si="52"/>
        <v>5.8168570281642102</v>
      </c>
      <c r="AK86">
        <f t="shared" si="48"/>
        <v>1.4571031187999801</v>
      </c>
      <c r="AL86">
        <f t="shared" si="49"/>
        <v>1.5091826012558165</v>
      </c>
      <c r="AO86">
        <f t="shared" si="59"/>
        <v>-0.9738937226128378</v>
      </c>
      <c r="AP86">
        <f t="shared" si="53"/>
        <v>8.3364821754229324E-2</v>
      </c>
      <c r="AQ86">
        <f t="shared" si="54"/>
        <v>-0.12416675570425806</v>
      </c>
      <c r="AR86">
        <f t="shared" si="58"/>
        <v>-0.54105206811824336</v>
      </c>
      <c r="AS86">
        <f t="shared" si="55"/>
        <v>-0.54072017697478603</v>
      </c>
      <c r="AT86">
        <f t="shared" si="56"/>
        <v>-0.71433460140422333</v>
      </c>
      <c r="BE86" t="s">
        <v>90</v>
      </c>
    </row>
    <row r="87" spans="1:57">
      <c r="A87">
        <f t="shared" si="62"/>
        <v>1.0640592124690613</v>
      </c>
      <c r="Z87">
        <f t="shared" si="46"/>
        <v>-0.50265482457437116</v>
      </c>
      <c r="AA87">
        <f t="shared" si="50"/>
        <v>84</v>
      </c>
      <c r="AB87">
        <f t="shared" si="42"/>
        <v>-1.5812469020312228</v>
      </c>
      <c r="AC87">
        <f t="shared" si="47"/>
        <v>0.93815334002193085</v>
      </c>
      <c r="AD87">
        <f t="shared" si="43"/>
        <v>-2.0630005761329393</v>
      </c>
      <c r="AE87">
        <f t="shared" si="44"/>
        <v>-0.9381533400219314</v>
      </c>
      <c r="AF87">
        <f t="shared" si="51"/>
        <v>2.6389378290154246</v>
      </c>
      <c r="AJ87">
        <f t="shared" si="52"/>
        <v>5.8877943089954812</v>
      </c>
      <c r="AK87">
        <f t="shared" si="48"/>
        <v>1.3651011932744914</v>
      </c>
      <c r="AL87">
        <f t="shared" si="49"/>
        <v>1.6390987882077217</v>
      </c>
      <c r="AO87">
        <f t="shared" si="59"/>
        <v>-1.0053096491487357</v>
      </c>
      <c r="AP87">
        <f t="shared" si="53"/>
        <v>0.11785952420913559</v>
      </c>
      <c r="AQ87">
        <f t="shared" si="54"/>
        <v>-7.1653589957990205E-2</v>
      </c>
      <c r="AR87">
        <f t="shared" si="58"/>
        <v>-0.55850536063818668</v>
      </c>
      <c r="AS87">
        <f t="shared" si="55"/>
        <v>-0.51095779832848454</v>
      </c>
      <c r="AT87">
        <f t="shared" si="56"/>
        <v>-0.69609619231285058</v>
      </c>
      <c r="BE87" t="s">
        <v>61</v>
      </c>
    </row>
    <row r="88" spans="1:57">
      <c r="A88">
        <f t="shared" si="62"/>
        <v>1.0782466686353154</v>
      </c>
      <c r="Z88">
        <f t="shared" si="46"/>
        <v>-0.47123889803847324</v>
      </c>
      <c r="AA88">
        <f t="shared" si="50"/>
        <v>85</v>
      </c>
      <c r="AB88">
        <f t="shared" si="42"/>
        <v>-1.5794205259443579</v>
      </c>
      <c r="AC88">
        <f t="shared" si="47"/>
        <v>0.94550326209418301</v>
      </c>
      <c r="AD88">
        <f t="shared" si="43"/>
        <v>-2.0334110256839062</v>
      </c>
      <c r="AE88">
        <f t="shared" si="44"/>
        <v>-0.94550326209418345</v>
      </c>
      <c r="AF88">
        <f t="shared" si="51"/>
        <v>2.6703537555513224</v>
      </c>
      <c r="AJ88">
        <f t="shared" si="52"/>
        <v>5.9587315898267521</v>
      </c>
      <c r="AK88">
        <f t="shared" si="48"/>
        <v>1.2394859458594667</v>
      </c>
      <c r="AL88">
        <f t="shared" si="49"/>
        <v>1.8047623407948226</v>
      </c>
      <c r="AO88">
        <f t="shared" si="59"/>
        <v>-1.0367255756846336</v>
      </c>
      <c r="AP88">
        <f t="shared" si="53"/>
        <v>0.15068772721299273</v>
      </c>
      <c r="AQ88">
        <f t="shared" si="54"/>
        <v>-1.8082831500739305E-2</v>
      </c>
      <c r="AR88">
        <f t="shared" si="58"/>
        <v>-0.57595865315813</v>
      </c>
      <c r="AS88">
        <f t="shared" si="55"/>
        <v>-0.48151825676484039</v>
      </c>
      <c r="AT88">
        <f t="shared" si="56"/>
        <v>-0.67734113589084677</v>
      </c>
    </row>
    <row r="89" spans="1:57">
      <c r="A89">
        <f t="shared" si="62"/>
        <v>1.0924341248015694</v>
      </c>
      <c r="Z89">
        <f t="shared" si="46"/>
        <v>-0.43982297150257532</v>
      </c>
      <c r="AA89">
        <f t="shared" si="50"/>
        <v>86</v>
      </c>
      <c r="AB89">
        <f t="shared" si="42"/>
        <v>-1.5778181667636459</v>
      </c>
      <c r="AC89">
        <f t="shared" si="47"/>
        <v>0.9524135262330089</v>
      </c>
      <c r="AD89">
        <f t="shared" si="43"/>
        <v>-2.0035974583287204</v>
      </c>
      <c r="AE89">
        <f t="shared" si="44"/>
        <v>-0.95241352623300934</v>
      </c>
      <c r="AF89">
        <f t="shared" si="51"/>
        <v>2.7017696820872201</v>
      </c>
      <c r="AJ89">
        <f t="shared" si="52"/>
        <v>6.029668870658023</v>
      </c>
      <c r="AK89">
        <f t="shared" si="48"/>
        <v>1.0833504408393746</v>
      </c>
      <c r="AL89">
        <f t="shared" si="49"/>
        <v>1.9967351576352264</v>
      </c>
      <c r="AO89">
        <f t="shared" si="59"/>
        <v>-1.0681415022205316</v>
      </c>
      <c r="AP89">
        <f t="shared" si="53"/>
        <v>0.18181703329283239</v>
      </c>
      <c r="AQ89">
        <f t="shared" si="54"/>
        <v>3.6492651796572795E-2</v>
      </c>
      <c r="AR89">
        <f t="shared" si="58"/>
        <v>-0.59341194567807332</v>
      </c>
      <c r="AS89">
        <f t="shared" si="55"/>
        <v>-0.45241051985340075</v>
      </c>
      <c r="AT89">
        <f t="shared" si="56"/>
        <v>-0.65807514511008192</v>
      </c>
    </row>
    <row r="90" spans="1:57">
      <c r="A90">
        <f t="shared" si="62"/>
        <v>1.1066215809678235</v>
      </c>
      <c r="Z90">
        <f t="shared" si="46"/>
        <v>-0.4084070449666774</v>
      </c>
      <c r="AA90">
        <f t="shared" si="50"/>
        <v>87</v>
      </c>
      <c r="AB90">
        <f t="shared" si="42"/>
        <v>-1.576425903960843</v>
      </c>
      <c r="AC90">
        <f t="shared" si="47"/>
        <v>0.95887731284198974</v>
      </c>
      <c r="AD90">
        <f t="shared" si="43"/>
        <v>-1.9735737945956255</v>
      </c>
      <c r="AE90">
        <f t="shared" si="44"/>
        <v>-0.95887731284199007</v>
      </c>
      <c r="AF90">
        <f t="shared" si="51"/>
        <v>2.7331856086231179</v>
      </c>
      <c r="AJ90">
        <f t="shared" si="52"/>
        <v>6.100606151489294</v>
      </c>
      <c r="AK90">
        <f t="shared" si="48"/>
        <v>0.90053925253183664</v>
      </c>
      <c r="AL90">
        <f t="shared" si="49"/>
        <v>2.2074580826361561</v>
      </c>
      <c r="AO90">
        <f t="shared" si="59"/>
        <v>-1.0995574287564296</v>
      </c>
      <c r="AP90">
        <f t="shared" si="53"/>
        <v>0.21121672158184102</v>
      </c>
      <c r="AQ90">
        <f t="shared" si="54"/>
        <v>9.2019000520909944E-2</v>
      </c>
      <c r="AR90">
        <f t="shared" si="58"/>
        <v>-0.61086523819801664</v>
      </c>
      <c r="AS90">
        <f t="shared" si="55"/>
        <v>-0.42364345409280224</v>
      </c>
      <c r="AT90">
        <f t="shared" si="56"/>
        <v>-0.63830408857798204</v>
      </c>
    </row>
    <row r="91" spans="1:57">
      <c r="A91">
        <f t="shared" si="62"/>
        <v>1.1208090371340775</v>
      </c>
      <c r="Z91">
        <f t="shared" si="46"/>
        <v>-0.37699111843077948</v>
      </c>
      <c r="AA91">
        <f t="shared" si="50"/>
        <v>88</v>
      </c>
      <c r="AB91">
        <f t="shared" si="42"/>
        <v>-1.5752296096679452</v>
      </c>
      <c r="AC91">
        <f t="shared" si="47"/>
        <v>0.9648882429441249</v>
      </c>
      <c r="AD91">
        <f t="shared" si="43"/>
        <v>-1.9433541623526254</v>
      </c>
      <c r="AE91">
        <f t="shared" si="44"/>
        <v>-0.96488824294412523</v>
      </c>
      <c r="AF91">
        <f t="shared" si="51"/>
        <v>2.7646015351590156</v>
      </c>
      <c r="AJ91">
        <f t="shared" si="52"/>
        <v>6.1715434323205649</v>
      </c>
      <c r="AK91">
        <f t="shared" si="48"/>
        <v>0.69555379910853843</v>
      </c>
      <c r="AL91">
        <f t="shared" si="49"/>
        <v>2.4311947612056559</v>
      </c>
      <c r="AO91">
        <f t="shared" si="59"/>
        <v>-1.1309733552923276</v>
      </c>
      <c r="AP91">
        <f t="shared" si="53"/>
        <v>0.23885777813714415</v>
      </c>
      <c r="AQ91">
        <f t="shared" si="54"/>
        <v>0.14844141686985834</v>
      </c>
      <c r="AR91">
        <f t="shared" si="58"/>
        <v>-0.62831853071795996</v>
      </c>
      <c r="AS91">
        <f t="shared" si="55"/>
        <v>-0.39522582220994829</v>
      </c>
      <c r="AT91">
        <f t="shared" si="56"/>
        <v>-0.61803398874989335</v>
      </c>
    </row>
    <row r="92" spans="1:57">
      <c r="A92">
        <f t="shared" si="62"/>
        <v>1.1349964933003316</v>
      </c>
      <c r="Z92">
        <f t="shared" si="46"/>
        <v>-0.34557519189488156</v>
      </c>
      <c r="AA92">
        <f t="shared" si="50"/>
        <v>89</v>
      </c>
      <c r="AB92">
        <f t="shared" si="42"/>
        <v>-1.5742149626196895</v>
      </c>
      <c r="AC92">
        <f t="shared" si="47"/>
        <v>0.97044038447711201</v>
      </c>
      <c r="AD92">
        <f t="shared" si="43"/>
        <v>-1.9129528828649833</v>
      </c>
      <c r="AE92">
        <f t="shared" si="44"/>
        <v>-0.97044038447711234</v>
      </c>
      <c r="AF92">
        <f t="shared" si="51"/>
        <v>2.7960174616949134</v>
      </c>
      <c r="AJ92">
        <f t="shared" si="52"/>
        <v>6.2424807131518358</v>
      </c>
      <c r="AK92">
        <f t="shared" si="48"/>
        <v>0.4734415027404707</v>
      </c>
      <c r="AL92">
        <f t="shared" si="49"/>
        <v>2.6636140999567064</v>
      </c>
      <c r="AO92">
        <f t="shared" si="59"/>
        <v>-1.1623892818282255</v>
      </c>
      <c r="AP92">
        <f t="shared" si="53"/>
        <v>0.26471292457306728</v>
      </c>
      <c r="AQ92">
        <f t="shared" si="54"/>
        <v>0.20570421873044253</v>
      </c>
      <c r="AR92">
        <f t="shared" si="58"/>
        <v>-0.64577182323790328</v>
      </c>
      <c r="AS92">
        <f t="shared" si="55"/>
        <v>-0.3671662804907978</v>
      </c>
      <c r="AT92">
        <f t="shared" si="56"/>
        <v>-0.5972710200945841</v>
      </c>
    </row>
    <row r="93" spans="1:57">
      <c r="A93">
        <f t="shared" si="62"/>
        <v>1.1491839494665856</v>
      </c>
      <c r="Z93">
        <f t="shared" si="46"/>
        <v>-0.31415926535898364</v>
      </c>
      <c r="AA93">
        <f t="shared" si="50"/>
        <v>90</v>
      </c>
      <c r="AB93">
        <f t="shared" si="42"/>
        <v>-1.5733674622869127</v>
      </c>
      <c r="AC93">
        <f t="shared" si="47"/>
        <v>0.97552825814757615</v>
      </c>
      <c r="AD93">
        <f t="shared" si="43"/>
        <v>-1.8823844566618626</v>
      </c>
      <c r="AE93">
        <f t="shared" si="44"/>
        <v>-0.97552825814757638</v>
      </c>
      <c r="AF93">
        <f t="shared" si="51"/>
        <v>2.8274333882308111</v>
      </c>
      <c r="AJ93">
        <f t="shared" si="52"/>
        <v>6.3134179939831068</v>
      </c>
      <c r="AK93">
        <f t="shared" si="48"/>
        <v>0.23967150531267156</v>
      </c>
      <c r="AL93">
        <f t="shared" si="49"/>
        <v>2.9013437711965868</v>
      </c>
      <c r="AO93">
        <f t="shared" si="59"/>
        <v>-1.1938052083641235</v>
      </c>
      <c r="AP93">
        <f t="shared" si="53"/>
        <v>0.28875664498160769</v>
      </c>
      <c r="AQ93">
        <f t="shared" si="54"/>
        <v>0.26375089463064794</v>
      </c>
      <c r="AR93">
        <f t="shared" si="58"/>
        <v>-0.66322511575784659</v>
      </c>
      <c r="AS93">
        <f t="shared" si="55"/>
        <v>-0.33947337614357775</v>
      </c>
      <c r="AT93">
        <f t="shared" si="56"/>
        <v>-0.57602150721344225</v>
      </c>
    </row>
    <row r="94" spans="1:57">
      <c r="A94">
        <f t="shared" si="62"/>
        <v>1.1633714056328397</v>
      </c>
      <c r="Z94">
        <f t="shared" si="46"/>
        <v>-0.28274333882308572</v>
      </c>
      <c r="AA94">
        <f t="shared" si="50"/>
        <v>91</v>
      </c>
      <c r="AB94">
        <f t="shared" si="42"/>
        <v>-1.5726724431868226</v>
      </c>
      <c r="AC94">
        <f t="shared" si="47"/>
        <v>0.98014684283847098</v>
      </c>
      <c r="AD94">
        <f t="shared" si="43"/>
        <v>-1.8516635492260547</v>
      </c>
      <c r="AE94">
        <f t="shared" si="44"/>
        <v>-0.9801468428384712</v>
      </c>
      <c r="AF94">
        <f t="shared" si="51"/>
        <v>2.8588493147667089</v>
      </c>
      <c r="AJ94">
        <f t="shared" si="52"/>
        <v>6.3843552748143777</v>
      </c>
      <c r="AK94">
        <f t="shared" si="48"/>
        <v>-4.5421455368553695E-14</v>
      </c>
      <c r="AL94">
        <f t="shared" si="49"/>
        <v>3.1415926535898384</v>
      </c>
      <c r="AO94">
        <f t="shared" si="59"/>
        <v>-1.2252211349000215</v>
      </c>
      <c r="AP94">
        <f t="shared" si="53"/>
        <v>0.31096521111355591</v>
      </c>
      <c r="AQ94">
        <f t="shared" si="54"/>
        <v>0.32252415950942126</v>
      </c>
      <c r="AR94">
        <f t="shared" si="58"/>
        <v>-0.68067840827778991</v>
      </c>
      <c r="AS94">
        <f t="shared" si="55"/>
        <v>-0.31215554469521956</v>
      </c>
      <c r="AT94">
        <f t="shared" si="56"/>
        <v>-0.55429192291394003</v>
      </c>
    </row>
    <row r="95" spans="1:57">
      <c r="A95">
        <f t="shared" si="62"/>
        <v>1.1775588617990937</v>
      </c>
      <c r="Z95">
        <f t="shared" si="46"/>
        <v>-0.2513274122871878</v>
      </c>
      <c r="AA95">
        <f t="shared" si="50"/>
        <v>92</v>
      </c>
      <c r="AB95">
        <f t="shared" si="42"/>
        <v>-1.5721150893560609</v>
      </c>
      <c r="AC95">
        <f t="shared" si="47"/>
        <v>0.98429158056431509</v>
      </c>
      <c r="AD95">
        <f t="shared" si="43"/>
        <v>-1.8208049765209187</v>
      </c>
      <c r="AE95">
        <f t="shared" si="44"/>
        <v>-0.98429158056431509</v>
      </c>
      <c r="AF95">
        <f t="shared" si="51"/>
        <v>2.8902652413026066</v>
      </c>
      <c r="AJ95">
        <f t="shared" si="52"/>
        <v>6.4552925556456486</v>
      </c>
      <c r="AK95">
        <f t="shared" si="48"/>
        <v>-0.23967150531276396</v>
      </c>
      <c r="AL95">
        <f t="shared" si="49"/>
        <v>3.3818415359830927</v>
      </c>
      <c r="AO95">
        <f t="shared" si="59"/>
        <v>-1.2566370614359195</v>
      </c>
      <c r="AP95">
        <f t="shared" si="53"/>
        <v>0.33131670579541184</v>
      </c>
      <c r="AQ95">
        <f t="shared" si="54"/>
        <v>0.38196601125010932</v>
      </c>
      <c r="AR95">
        <f t="shared" si="58"/>
        <v>-0.69813170079773323</v>
      </c>
      <c r="AS95">
        <f t="shared" si="55"/>
        <v>-0.28522110742181583</v>
      </c>
      <c r="AT95">
        <f t="shared" si="56"/>
        <v>-0.53208888623795425</v>
      </c>
    </row>
    <row r="96" spans="1:57">
      <c r="A96">
        <f t="shared" si="62"/>
        <v>1.1917463179653478</v>
      </c>
      <c r="Z96">
        <f t="shared" si="46"/>
        <v>-0.21991148575128988</v>
      </c>
      <c r="AA96">
        <f t="shared" si="50"/>
        <v>93</v>
      </c>
      <c r="AB96">
        <f t="shared" si="42"/>
        <v>-1.5716804489722682</v>
      </c>
      <c r="AC96">
        <f t="shared" si="47"/>
        <v>0.98795838096937327</v>
      </c>
      <c r="AD96">
        <f t="shared" si="43"/>
        <v>-1.7898236903688138</v>
      </c>
      <c r="AE96">
        <f t="shared" si="44"/>
        <v>-0.98795838096937327</v>
      </c>
      <c r="AF96">
        <f t="shared" si="51"/>
        <v>2.9216811678385044</v>
      </c>
      <c r="AJ96">
        <f t="shared" si="52"/>
        <v>6.5262298364769196</v>
      </c>
      <c r="AK96">
        <f t="shared" si="48"/>
        <v>-0.47344150274055974</v>
      </c>
      <c r="AL96">
        <f t="shared" si="49"/>
        <v>3.6195712072229713</v>
      </c>
      <c r="AO96">
        <f t="shared" si="59"/>
        <v>-1.2880529879718174</v>
      </c>
      <c r="AP96">
        <f t="shared" si="53"/>
        <v>0.3497910445589909</v>
      </c>
      <c r="AQ96">
        <f t="shared" si="54"/>
        <v>0.44201778792154578</v>
      </c>
      <c r="AR96">
        <f t="shared" si="58"/>
        <v>-0.71558499331767655</v>
      </c>
      <c r="AS96">
        <f t="shared" si="55"/>
        <v>-0.25867826881387979</v>
      </c>
      <c r="AT96">
        <f t="shared" si="56"/>
        <v>-0.50941916044554203</v>
      </c>
    </row>
    <row r="97" spans="1:46">
      <c r="A97">
        <f t="shared" si="62"/>
        <v>1.2059337741316019</v>
      </c>
      <c r="Z97">
        <f t="shared" si="46"/>
        <v>-0.18849555921539196</v>
      </c>
      <c r="AA97">
        <f t="shared" si="50"/>
        <v>94</v>
      </c>
      <c r="AB97">
        <f t="shared" si="42"/>
        <v>-1.5713534491097281</v>
      </c>
      <c r="AC97">
        <f t="shared" si="47"/>
        <v>0.99114362536434397</v>
      </c>
      <c r="AD97">
        <f t="shared" si="43"/>
        <v>-1.758734763695456</v>
      </c>
      <c r="AE97">
        <f t="shared" si="44"/>
        <v>-0.99114362536434397</v>
      </c>
      <c r="AF97">
        <f t="shared" si="51"/>
        <v>2.9530970943744022</v>
      </c>
      <c r="AJ97">
        <f t="shared" si="52"/>
        <v>6.5971671173081905</v>
      </c>
      <c r="AK97">
        <f t="shared" si="48"/>
        <v>-0.69555379910861936</v>
      </c>
      <c r="AL97">
        <f t="shared" si="49"/>
        <v>3.8519905459740165</v>
      </c>
      <c r="AO97">
        <f t="shared" si="59"/>
        <v>-1.3194689145077154</v>
      </c>
      <c r="AP97">
        <f t="shared" si="53"/>
        <v>0.3663699954623667</v>
      </c>
      <c r="AQ97">
        <f t="shared" si="54"/>
        <v>0.50262022567029474</v>
      </c>
      <c r="AR97">
        <f t="shared" si="58"/>
        <v>-0.73303828583761987</v>
      </c>
      <c r="AS97">
        <f t="shared" si="55"/>
        <v>-0.23253511407717786</v>
      </c>
      <c r="AT97">
        <f t="shared" si="56"/>
        <v>-0.48628965095478649</v>
      </c>
    </row>
    <row r="98" spans="1:46">
      <c r="A98">
        <f t="shared" si="62"/>
        <v>1.2201212302978559</v>
      </c>
      <c r="Z98">
        <f t="shared" si="46"/>
        <v>-0.15707963267949404</v>
      </c>
      <c r="AA98">
        <f t="shared" si="50"/>
        <v>95</v>
      </c>
      <c r="AB98">
        <f t="shared" si="42"/>
        <v>-1.571118910614526</v>
      </c>
      <c r="AC98">
        <f t="shared" si="47"/>
        <v>0.99384417029756844</v>
      </c>
      <c r="AD98">
        <f t="shared" si="43"/>
        <v>-1.7275533756547605</v>
      </c>
      <c r="AE98">
        <f t="shared" si="44"/>
        <v>-0.99384417029756855</v>
      </c>
      <c r="AF98">
        <f t="shared" si="51"/>
        <v>2.9845130209102999</v>
      </c>
      <c r="AJ98">
        <f t="shared" si="52"/>
        <v>6.6681043981394614</v>
      </c>
      <c r="AK98">
        <f t="shared" si="48"/>
        <v>-0.90053925253191014</v>
      </c>
      <c r="AL98">
        <f t="shared" si="49"/>
        <v>4.0757272245435123</v>
      </c>
      <c r="AO98">
        <f t="shared" si="59"/>
        <v>-1.3508848410436134</v>
      </c>
      <c r="AP98">
        <f t="shared" si="53"/>
        <v>0.3810371970825992</v>
      </c>
      <c r="AQ98">
        <f t="shared" si="54"/>
        <v>0.56371351720691942</v>
      </c>
      <c r="AR98">
        <f t="shared" si="58"/>
        <v>-0.75049157835756319</v>
      </c>
      <c r="AS98">
        <f t="shared" si="55"/>
        <v>-0.20679960666989738</v>
      </c>
      <c r="AT98">
        <f t="shared" si="56"/>
        <v>-0.46270740323833892</v>
      </c>
    </row>
    <row r="99" spans="1:46">
      <c r="A99">
        <f t="shared" si="62"/>
        <v>1.23430868646411</v>
      </c>
      <c r="Z99">
        <f t="shared" si="46"/>
        <v>-0.12566370614359612</v>
      </c>
      <c r="AA99">
        <f t="shared" si="50"/>
        <v>96</v>
      </c>
      <c r="AB99">
        <f t="shared" si="42"/>
        <v>-1.5709615630845404</v>
      </c>
      <c r="AC99">
        <f t="shared" si="47"/>
        <v>0.99605735065723866</v>
      </c>
      <c r="AD99">
        <f t="shared" si="43"/>
        <v>-1.6962947966488484</v>
      </c>
      <c r="AE99">
        <f t="shared" si="44"/>
        <v>-0.99605735065723866</v>
      </c>
      <c r="AF99">
        <f t="shared" si="51"/>
        <v>3.0159289474461977</v>
      </c>
      <c r="AJ99">
        <f t="shared" si="52"/>
        <v>6.7390416789707324</v>
      </c>
      <c r="AK99">
        <f t="shared" si="48"/>
        <v>-1.0833504408394385</v>
      </c>
      <c r="AL99">
        <f t="shared" si="49"/>
        <v>4.2864501495444358</v>
      </c>
      <c r="AO99">
        <f t="shared" si="59"/>
        <v>-1.3823007675795114</v>
      </c>
      <c r="AP99">
        <f t="shared" si="53"/>
        <v>0.39377817466248177</v>
      </c>
      <c r="AQ99">
        <f t="shared" si="54"/>
        <v>0.62523737082855535</v>
      </c>
      <c r="AR99">
        <f t="shared" si="58"/>
        <v>-0.76794487087750651</v>
      </c>
      <c r="AS99">
        <f t="shared" si="55"/>
        <v>-0.18147958587689983</v>
      </c>
      <c r="AT99">
        <f t="shared" si="56"/>
        <v>-0.43867960067730016</v>
      </c>
    </row>
    <row r="100" spans="1:46">
      <c r="A100">
        <f t="shared" si="62"/>
        <v>1.248496142630364</v>
      </c>
      <c r="Z100">
        <f t="shared" ref="Z100:Z131" si="63">Z99+vimaex</f>
        <v>-9.4247779607698187E-2</v>
      </c>
      <c r="AA100">
        <f t="shared" si="50"/>
        <v>97</v>
      </c>
      <c r="AB100">
        <f t="shared" si="42"/>
        <v>-1.5708660599394864</v>
      </c>
      <c r="AC100">
        <f t="shared" si="47"/>
        <v>0.99778098230153978</v>
      </c>
      <c r="AD100">
        <f t="shared" si="43"/>
        <v>-1.6649743732580045</v>
      </c>
      <c r="AE100">
        <f t="shared" si="44"/>
        <v>-0.99778098230153978</v>
      </c>
      <c r="AF100">
        <f t="shared" si="51"/>
        <v>3.0473448739820954</v>
      </c>
      <c r="AJ100">
        <f t="shared" si="52"/>
        <v>6.8099789598020033</v>
      </c>
      <c r="AK100">
        <f t="shared" ref="AK100:AK131" si="64">Platoskinishs*COS(2*PI()*AJ100/Tperiod)</f>
        <v>-1.2394859458595202</v>
      </c>
      <c r="AL100">
        <f t="shared" ref="AL100:AL131" si="65">2*ACOS(AK100/(4*Aktina))</f>
        <v>4.4784229663848318</v>
      </c>
      <c r="AO100">
        <f t="shared" si="59"/>
        <v>-1.4137166941154093</v>
      </c>
      <c r="AP100">
        <f t="shared" si="53"/>
        <v>0.40458035439537965</v>
      </c>
      <c r="AQ100">
        <f t="shared" si="54"/>
        <v>0.68713106991954298</v>
      </c>
      <c r="AR100">
        <f t="shared" si="58"/>
        <v>-0.78539816339744983</v>
      </c>
      <c r="AS100">
        <f t="shared" si="55"/>
        <v>-0.15658276442179941</v>
      </c>
      <c r="AT100">
        <f t="shared" si="56"/>
        <v>-0.41421356237309293</v>
      </c>
    </row>
    <row r="101" spans="1:46">
      <c r="A101">
        <f t="shared" si="62"/>
        <v>1.2626835987966181</v>
      </c>
      <c r="Z101">
        <f t="shared" si="63"/>
        <v>-6.2831853071800253E-2</v>
      </c>
      <c r="AA101">
        <f t="shared" si="50"/>
        <v>98</v>
      </c>
      <c r="AB101">
        <f t="shared" si="42"/>
        <v>-1.5708169935661378</v>
      </c>
      <c r="AC101">
        <f t="shared" si="47"/>
        <v>0.99901336421413567</v>
      </c>
      <c r="AD101">
        <f t="shared" si="43"/>
        <v>-1.6336075130954553</v>
      </c>
      <c r="AE101">
        <f t="shared" si="44"/>
        <v>-0.99901336421413567</v>
      </c>
      <c r="AF101">
        <f t="shared" si="51"/>
        <v>3.0787608005179932</v>
      </c>
      <c r="AJ101">
        <f t="shared" ref="AJ101:AJ132" si="66">AJ100+Tperiod/40</f>
        <v>6.8809162406332742</v>
      </c>
      <c r="AK101">
        <f t="shared" si="64"/>
        <v>-1.3651011932745327</v>
      </c>
      <c r="AL101">
        <f t="shared" si="65"/>
        <v>4.6440865189719212</v>
      </c>
      <c r="AO101">
        <f t="shared" si="59"/>
        <v>-1.4451326206513073</v>
      </c>
      <c r="AP101">
        <f t="shared" ref="AP101:AP105" si="67">-PI()*Aktina-Length*SIN(AO101)</f>
        <v>0.41343307583405964</v>
      </c>
      <c r="AQ101">
        <f t="shared" si="54"/>
        <v>0.74933353287139637</v>
      </c>
      <c r="AR101">
        <f t="shared" si="58"/>
        <v>-0.80285145591739315</v>
      </c>
      <c r="AS101">
        <f t="shared" ref="AS101:AS105" si="68">-PI()*Aktina-Length*SIN(AR101)</f>
        <v>-0.13211672611759218</v>
      </c>
      <c r="AT101">
        <f t="shared" si="56"/>
        <v>-0.38931674091799229</v>
      </c>
    </row>
    <row r="102" spans="1:46">
      <c r="A102">
        <f t="shared" si="62"/>
        <v>1.2768710549628721</v>
      </c>
      <c r="Z102">
        <f t="shared" si="63"/>
        <v>-3.1415926535902319E-2</v>
      </c>
      <c r="AA102">
        <f t="shared" si="50"/>
        <v>99</v>
      </c>
      <c r="AB102">
        <f t="shared" si="42"/>
        <v>-1.5707989105237814</v>
      </c>
      <c r="AC102">
        <f t="shared" si="47"/>
        <v>0.99975328018286569</v>
      </c>
      <c r="AD102">
        <f t="shared" si="43"/>
        <v>-1.6022096696019139</v>
      </c>
      <c r="AE102">
        <f t="shared" si="44"/>
        <v>-0.99975328018286569</v>
      </c>
      <c r="AF102">
        <f t="shared" si="51"/>
        <v>3.1101767270538909</v>
      </c>
      <c r="AJ102">
        <f t="shared" si="66"/>
        <v>6.9518535214645452</v>
      </c>
      <c r="AK102">
        <f t="shared" si="64"/>
        <v>-1.4571031188000081</v>
      </c>
      <c r="AL102">
        <f t="shared" si="65"/>
        <v>4.7740027059238104</v>
      </c>
      <c r="AO102">
        <f t="shared" si="59"/>
        <v>-1.4765485471872053</v>
      </c>
      <c r="AP102">
        <f t="shared" si="67"/>
        <v>0.42032760241126388</v>
      </c>
      <c r="AQ102">
        <f t="shared" si="54"/>
        <v>0.81178337336297623</v>
      </c>
      <c r="AR102">
        <f t="shared" si="58"/>
        <v>-0.82030474843733647</v>
      </c>
      <c r="AS102">
        <f t="shared" si="68"/>
        <v>-0.10808892355655342</v>
      </c>
      <c r="AT102">
        <f t="shared" si="56"/>
        <v>-0.36399672012499473</v>
      </c>
    </row>
    <row r="103" spans="1:46">
      <c r="A103">
        <f t="shared" si="62"/>
        <v>1.2910585111291262</v>
      </c>
      <c r="Z103">
        <f t="shared" si="63"/>
        <v>-4.3853809472693683E-15</v>
      </c>
      <c r="AA103">
        <f t="shared" si="50"/>
        <v>100</v>
      </c>
      <c r="AB103">
        <f t="shared" si="42"/>
        <v>-1.5707963267948966</v>
      </c>
      <c r="AC103">
        <f t="shared" si="47"/>
        <v>1</v>
      </c>
      <c r="AD103">
        <f t="shared" si="43"/>
        <v>-1.570796326794901</v>
      </c>
      <c r="AE103">
        <f t="shared" si="44"/>
        <v>-1</v>
      </c>
      <c r="AF103">
        <f t="shared" si="51"/>
        <v>3.1415926535897887</v>
      </c>
      <c r="AJ103">
        <f t="shared" si="66"/>
        <v>7.0227908022958161</v>
      </c>
      <c r="AK103">
        <f t="shared" si="64"/>
        <v>-1.5132263296926278</v>
      </c>
      <c r="AL103">
        <f t="shared" si="65"/>
        <v>4.8578281355949642</v>
      </c>
      <c r="AO103">
        <f t="shared" si="59"/>
        <v>-1.5079644737231033</v>
      </c>
      <c r="AP103">
        <f t="shared" si="67"/>
        <v>0.42525713006164678</v>
      </c>
      <c r="AQ103">
        <f t="shared" si="54"/>
        <v>0.87441896094137828</v>
      </c>
      <c r="AR103">
        <f t="shared" si="58"/>
        <v>-0.83775804095727979</v>
      </c>
      <c r="AS103">
        <f t="shared" si="68"/>
        <v>-8.4506675840105849E-2</v>
      </c>
      <c r="AT103">
        <f t="shared" si="56"/>
        <v>-0.33826121271771403</v>
      </c>
    </row>
    <row r="104" spans="1:46">
      <c r="A104">
        <f t="shared" si="62"/>
        <v>1.3052459672953802</v>
      </c>
      <c r="Z104">
        <f t="shared" si="63"/>
        <v>3.1415926535893549E-2</v>
      </c>
      <c r="AA104">
        <f t="shared" si="50"/>
        <v>101</v>
      </c>
      <c r="AB104">
        <f t="shared" si="42"/>
        <v>-1.5707937430660117</v>
      </c>
      <c r="AC104">
        <f t="shared" si="47"/>
        <v>0.99975328018286591</v>
      </c>
      <c r="AD104">
        <f t="shared" si="43"/>
        <v>-1.5393829839878881</v>
      </c>
      <c r="AE104">
        <f t="shared" si="44"/>
        <v>-0.99975328018286591</v>
      </c>
      <c r="AF104">
        <f t="shared" si="51"/>
        <v>3.1730085801256864</v>
      </c>
      <c r="AJ104">
        <f t="shared" si="66"/>
        <v>7.093728083127087</v>
      </c>
      <c r="AK104">
        <f t="shared" si="64"/>
        <v>-1.532088886237956</v>
      </c>
      <c r="AL104">
        <f t="shared" si="65"/>
        <v>4.8869219055841224</v>
      </c>
      <c r="AO104">
        <f t="shared" si="59"/>
        <v>-1.5393804002590012</v>
      </c>
      <c r="AP104">
        <f t="shared" si="67"/>
        <v>0.42821679393656664</v>
      </c>
      <c r="AQ104">
        <f t="shared" si="54"/>
        <v>0.93717848184374852</v>
      </c>
      <c r="AR104">
        <f t="shared" si="58"/>
        <v>-0.85521133347722311</v>
      </c>
      <c r="AS104">
        <f t="shared" si="68"/>
        <v>-6.1377166349350532E-2</v>
      </c>
      <c r="AT104">
        <f t="shared" si="56"/>
        <v>-0.31211805798101211</v>
      </c>
    </row>
    <row r="105" spans="1:46">
      <c r="A105">
        <f t="shared" si="62"/>
        <v>1.3194334234616343</v>
      </c>
      <c r="Z105">
        <f t="shared" si="63"/>
        <v>6.2831853071791482E-2</v>
      </c>
      <c r="AA105">
        <f t="shared" si="50"/>
        <v>102</v>
      </c>
      <c r="AB105">
        <f t="shared" si="42"/>
        <v>-1.5707756600236553</v>
      </c>
      <c r="AC105">
        <f t="shared" si="47"/>
        <v>0.99901336421413589</v>
      </c>
      <c r="AD105">
        <f t="shared" si="43"/>
        <v>-1.5079851404943467</v>
      </c>
      <c r="AE105">
        <f t="shared" si="44"/>
        <v>-0.99901336421413589</v>
      </c>
      <c r="AF105">
        <f t="shared" si="51"/>
        <v>3.2044245066615842</v>
      </c>
      <c r="AJ105">
        <f t="shared" si="66"/>
        <v>7.164665363958358</v>
      </c>
      <c r="AK105">
        <f t="shared" si="64"/>
        <v>-1.5132263296926109</v>
      </c>
      <c r="AL105">
        <f t="shared" si="65"/>
        <v>4.8578281355949393</v>
      </c>
      <c r="AO105">
        <f t="shared" si="59"/>
        <v>-1.5707963267948992</v>
      </c>
      <c r="AP105">
        <f t="shared" si="67"/>
        <v>0.42920367320510344</v>
      </c>
      <c r="AQ105">
        <f t="shared" si="54"/>
        <v>1.0000000000000051</v>
      </c>
      <c r="AR105">
        <f t="shared" si="58"/>
        <v>-0.87266462599716643</v>
      </c>
      <c r="AS105">
        <f t="shared" si="68"/>
        <v>-3.8707440556938311E-2</v>
      </c>
      <c r="AT105">
        <f t="shared" si="56"/>
        <v>-0.28557521937307606</v>
      </c>
    </row>
    <row r="106" spans="1:46">
      <c r="A106">
        <f t="shared" si="62"/>
        <v>1.3336208796278883</v>
      </c>
      <c r="Z106">
        <f t="shared" si="63"/>
        <v>9.4247779607689416E-2</v>
      </c>
      <c r="AA106">
        <f t="shared" si="50"/>
        <v>103</v>
      </c>
      <c r="AB106">
        <f t="shared" si="42"/>
        <v>-1.570726593650307</v>
      </c>
      <c r="AC106">
        <f t="shared" si="47"/>
        <v>0.99778098230154022</v>
      </c>
      <c r="AD106">
        <f t="shared" si="43"/>
        <v>-1.4766182803317975</v>
      </c>
      <c r="AE106">
        <f t="shared" si="44"/>
        <v>-0.99778098230154022</v>
      </c>
      <c r="AF106">
        <f t="shared" si="51"/>
        <v>3.2358404331974819</v>
      </c>
      <c r="AJ106">
        <f t="shared" si="66"/>
        <v>7.2356026447896289</v>
      </c>
      <c r="AK106">
        <f t="shared" si="64"/>
        <v>-1.4571031187999766</v>
      </c>
      <c r="AL106">
        <f t="shared" si="65"/>
        <v>4.7740027059237651</v>
      </c>
    </row>
    <row r="107" spans="1:46">
      <c r="A107">
        <f t="shared" si="62"/>
        <v>1.3478083357941424</v>
      </c>
      <c r="Z107">
        <f t="shared" si="63"/>
        <v>0.12566370614358735</v>
      </c>
      <c r="AA107">
        <f t="shared" si="50"/>
        <v>104</v>
      </c>
      <c r="AB107">
        <f t="shared" si="42"/>
        <v>-1.5706310905052527</v>
      </c>
      <c r="AC107">
        <f t="shared" si="47"/>
        <v>0.99605735065723922</v>
      </c>
      <c r="AD107">
        <f t="shared" si="43"/>
        <v>-1.4452978569409538</v>
      </c>
      <c r="AE107">
        <f t="shared" si="44"/>
        <v>-0.99605735065723922</v>
      </c>
      <c r="AF107">
        <f t="shared" si="51"/>
        <v>3.2672563597333797</v>
      </c>
      <c r="AJ107">
        <f t="shared" si="66"/>
        <v>7.3065399256208998</v>
      </c>
      <c r="AK107">
        <f t="shared" si="64"/>
        <v>-1.3651011932744828</v>
      </c>
      <c r="AL107">
        <f t="shared" si="65"/>
        <v>4.6440865189718528</v>
      </c>
    </row>
    <row r="108" spans="1:46">
      <c r="A108">
        <f t="shared" si="62"/>
        <v>1.3619957919603964</v>
      </c>
      <c r="Z108">
        <f t="shared" si="63"/>
        <v>0.15707963267948527</v>
      </c>
      <c r="AA108">
        <f t="shared" si="50"/>
        <v>105</v>
      </c>
      <c r="AB108">
        <f t="shared" si="42"/>
        <v>-1.5704737429752673</v>
      </c>
      <c r="AC108">
        <f t="shared" si="47"/>
        <v>0.99384417029756922</v>
      </c>
      <c r="AD108">
        <f t="shared" si="43"/>
        <v>-1.4140392779350417</v>
      </c>
      <c r="AE108">
        <f t="shared" si="44"/>
        <v>-0.99384417029756933</v>
      </c>
      <c r="AF108">
        <f t="shared" si="51"/>
        <v>3.2986722862692774</v>
      </c>
      <c r="AJ108">
        <f t="shared" si="66"/>
        <v>7.3774772064521708</v>
      </c>
      <c r="AK108">
        <f t="shared" si="64"/>
        <v>-1.2394859458594605</v>
      </c>
      <c r="AL108">
        <f t="shared" si="65"/>
        <v>4.4784229663847555</v>
      </c>
    </row>
    <row r="109" spans="1:46">
      <c r="A109">
        <f t="shared" si="62"/>
        <v>1.3761832481266505</v>
      </c>
      <c r="Z109">
        <f t="shared" si="63"/>
        <v>0.18849555921538319</v>
      </c>
      <c r="AA109">
        <f t="shared" si="50"/>
        <v>106</v>
      </c>
      <c r="AB109">
        <f t="shared" si="42"/>
        <v>-1.5702392044800653</v>
      </c>
      <c r="AC109">
        <f t="shared" si="47"/>
        <v>0.99114362536434475</v>
      </c>
      <c r="AD109">
        <f t="shared" si="43"/>
        <v>-1.382857889894346</v>
      </c>
      <c r="AE109">
        <f t="shared" si="44"/>
        <v>-0.99114362536434486</v>
      </c>
      <c r="AF109">
        <f t="shared" si="51"/>
        <v>3.3300882128051752</v>
      </c>
      <c r="AJ109">
        <f t="shared" si="66"/>
        <v>7.4484144872834417</v>
      </c>
      <c r="AK109">
        <f t="shared" si="64"/>
        <v>-1.083350440839365</v>
      </c>
      <c r="AL109">
        <f t="shared" si="65"/>
        <v>4.2864501495443488</v>
      </c>
    </row>
    <row r="110" spans="1:46">
      <c r="A110">
        <f t="shared" si="62"/>
        <v>1.3903707042929045</v>
      </c>
      <c r="Z110">
        <f t="shared" si="63"/>
        <v>0.21991148575128111</v>
      </c>
      <c r="AA110">
        <f t="shared" si="50"/>
        <v>107</v>
      </c>
      <c r="AB110">
        <f t="shared" si="42"/>
        <v>-1.5699122046175251</v>
      </c>
      <c r="AC110">
        <f t="shared" si="47"/>
        <v>0.98795838096937416</v>
      </c>
      <c r="AD110">
        <f t="shared" si="43"/>
        <v>-1.3517689632209882</v>
      </c>
      <c r="AE110">
        <f t="shared" si="44"/>
        <v>-0.98795838096937438</v>
      </c>
      <c r="AF110">
        <f t="shared" si="51"/>
        <v>3.3615041393410729</v>
      </c>
      <c r="AJ110">
        <f t="shared" si="66"/>
        <v>7.5193517681147126</v>
      </c>
      <c r="AK110">
        <f t="shared" si="64"/>
        <v>-0.90053925253182132</v>
      </c>
      <c r="AL110">
        <f t="shared" si="65"/>
        <v>4.0757272245434129</v>
      </c>
    </row>
    <row r="111" spans="1:46">
      <c r="A111">
        <f t="shared" si="62"/>
        <v>1.4045581604591586</v>
      </c>
      <c r="Z111">
        <f t="shared" si="63"/>
        <v>0.25132741228717903</v>
      </c>
      <c r="AA111">
        <f t="shared" si="50"/>
        <v>108</v>
      </c>
      <c r="AB111">
        <f t="shared" si="42"/>
        <v>-1.5694775642337324</v>
      </c>
      <c r="AC111">
        <f t="shared" si="47"/>
        <v>0.98429158056431609</v>
      </c>
      <c r="AD111">
        <f t="shared" si="43"/>
        <v>-1.3207876770688833</v>
      </c>
      <c r="AE111">
        <f t="shared" si="44"/>
        <v>-0.98429158056431632</v>
      </c>
      <c r="AF111">
        <f t="shared" si="51"/>
        <v>3.3929200658769707</v>
      </c>
      <c r="AJ111">
        <f t="shared" si="66"/>
        <v>7.5902890489459836</v>
      </c>
      <c r="AK111">
        <f t="shared" si="64"/>
        <v>-0.695553799108524</v>
      </c>
      <c r="AL111">
        <f t="shared" si="65"/>
        <v>3.8519905459739148</v>
      </c>
    </row>
    <row r="112" spans="1:46">
      <c r="A112">
        <f t="shared" si="62"/>
        <v>1.4187456166254127</v>
      </c>
      <c r="Z112">
        <f t="shared" si="63"/>
        <v>0.28274333882307695</v>
      </c>
      <c r="AA112">
        <f t="shared" si="50"/>
        <v>109</v>
      </c>
      <c r="AB112">
        <f t="shared" si="42"/>
        <v>-1.5689202104029705</v>
      </c>
      <c r="AC112">
        <f t="shared" si="47"/>
        <v>0.98014684283847209</v>
      </c>
      <c r="AD112">
        <f t="shared" si="43"/>
        <v>-1.2899291043637473</v>
      </c>
      <c r="AE112">
        <f t="shared" si="44"/>
        <v>-0.98014684283847242</v>
      </c>
      <c r="AF112">
        <f t="shared" si="51"/>
        <v>3.4243359924128685</v>
      </c>
      <c r="AJ112">
        <f t="shared" si="66"/>
        <v>7.6612263297772545</v>
      </c>
      <c r="AK112">
        <f t="shared" si="64"/>
        <v>-0.47344150274045793</v>
      </c>
      <c r="AL112">
        <f t="shared" si="65"/>
        <v>3.6195712072228665</v>
      </c>
    </row>
    <row r="113" spans="1:38">
      <c r="A113">
        <f t="shared" si="62"/>
        <v>1.4329330727916667</v>
      </c>
      <c r="Z113">
        <f t="shared" si="63"/>
        <v>0.31415926535897487</v>
      </c>
      <c r="AA113">
        <f t="shared" si="50"/>
        <v>110</v>
      </c>
      <c r="AB113">
        <f t="shared" si="42"/>
        <v>-1.5682251913028806</v>
      </c>
      <c r="AC113">
        <f t="shared" si="47"/>
        <v>0.97552825814757749</v>
      </c>
      <c r="AD113">
        <f t="shared" si="43"/>
        <v>-1.2592081969279394</v>
      </c>
      <c r="AE113">
        <f t="shared" si="44"/>
        <v>-0.97552825814757771</v>
      </c>
      <c r="AF113">
        <f t="shared" si="51"/>
        <v>3.4557519189487662</v>
      </c>
      <c r="AJ113">
        <f t="shared" si="66"/>
        <v>7.7321636106085254</v>
      </c>
      <c r="AK113">
        <f t="shared" si="64"/>
        <v>-0.2396715053126583</v>
      </c>
      <c r="AL113">
        <f t="shared" si="65"/>
        <v>3.3818415359829861</v>
      </c>
    </row>
    <row r="114" spans="1:38">
      <c r="A114">
        <f t="shared" si="62"/>
        <v>1.4471205289579208</v>
      </c>
      <c r="Z114">
        <f t="shared" si="63"/>
        <v>0.34557519189487279</v>
      </c>
      <c r="AA114">
        <f t="shared" si="50"/>
        <v>111</v>
      </c>
      <c r="AB114">
        <f t="shared" si="42"/>
        <v>-1.5673776909701038</v>
      </c>
      <c r="AC114">
        <f t="shared" si="47"/>
        <v>0.97044038447711345</v>
      </c>
      <c r="AD114">
        <f t="shared" si="43"/>
        <v>-1.2286397707248184</v>
      </c>
      <c r="AE114">
        <f t="shared" si="44"/>
        <v>-0.97044038447711389</v>
      </c>
      <c r="AF114">
        <f t="shared" si="51"/>
        <v>3.487167845484664</v>
      </c>
      <c r="AJ114">
        <f t="shared" si="66"/>
        <v>7.8031008914397963</v>
      </c>
      <c r="AK114">
        <f t="shared" si="64"/>
        <v>6.1562971165205415E-14</v>
      </c>
      <c r="AL114">
        <f t="shared" si="65"/>
        <v>3.1415926535897314</v>
      </c>
    </row>
    <row r="115" spans="1:38">
      <c r="A115">
        <f t="shared" si="62"/>
        <v>1.4613079851241748</v>
      </c>
      <c r="Z115">
        <f t="shared" si="63"/>
        <v>0.37699111843077071</v>
      </c>
      <c r="AA115">
        <f t="shared" si="50"/>
        <v>112</v>
      </c>
      <c r="AB115">
        <f t="shared" si="42"/>
        <v>-1.5663630439218481</v>
      </c>
      <c r="AC115">
        <f t="shared" si="47"/>
        <v>0.96488824294412656</v>
      </c>
      <c r="AD115">
        <f t="shared" si="43"/>
        <v>-1.1982384912371764</v>
      </c>
      <c r="AE115">
        <f t="shared" si="44"/>
        <v>-0.96488824294412701</v>
      </c>
      <c r="AF115">
        <f t="shared" si="51"/>
        <v>3.5185837720205617</v>
      </c>
      <c r="AJ115">
        <f t="shared" si="66"/>
        <v>7.8740381722710673</v>
      </c>
      <c r="AK115">
        <f t="shared" si="64"/>
        <v>0.23967150531277992</v>
      </c>
      <c r="AL115">
        <f t="shared" si="65"/>
        <v>2.9013437711964776</v>
      </c>
    </row>
    <row r="116" spans="1:38">
      <c r="A116">
        <f t="shared" si="62"/>
        <v>1.4754954412904289</v>
      </c>
      <c r="Z116">
        <f t="shared" si="63"/>
        <v>0.40840704496666863</v>
      </c>
      <c r="AA116">
        <f t="shared" si="50"/>
        <v>113</v>
      </c>
      <c r="AB116">
        <f t="shared" si="42"/>
        <v>-1.5651667496289505</v>
      </c>
      <c r="AC116">
        <f t="shared" si="47"/>
        <v>0.9588773128419914</v>
      </c>
      <c r="AD116">
        <f t="shared" si="43"/>
        <v>-1.1680188589941762</v>
      </c>
      <c r="AE116">
        <f t="shared" si="44"/>
        <v>-0.95887731284199196</v>
      </c>
      <c r="AF116">
        <f t="shared" si="51"/>
        <v>3.5499996985564595</v>
      </c>
      <c r="AJ116">
        <f t="shared" si="66"/>
        <v>7.9449754531023382</v>
      </c>
      <c r="AK116">
        <f t="shared" si="64"/>
        <v>0.473441502740575</v>
      </c>
      <c r="AL116">
        <f t="shared" si="65"/>
        <v>2.6636140999565989</v>
      </c>
    </row>
    <row r="117" spans="1:38">
      <c r="A117">
        <f t="shared" si="62"/>
        <v>1.4896828974566829</v>
      </c>
      <c r="Z117">
        <f t="shared" si="63"/>
        <v>0.43982297150256655</v>
      </c>
      <c r="AA117">
        <f t="shared" si="50"/>
        <v>114</v>
      </c>
      <c r="AB117">
        <f t="shared" si="42"/>
        <v>-1.5637744868261474</v>
      </c>
      <c r="AC117">
        <f t="shared" si="47"/>
        <v>0.95241352623301068</v>
      </c>
      <c r="AD117">
        <f t="shared" si="43"/>
        <v>-1.1379951952610812</v>
      </c>
      <c r="AE117">
        <f t="shared" si="44"/>
        <v>-0.95241352623301134</v>
      </c>
      <c r="AF117">
        <f t="shared" si="51"/>
        <v>3.5814156250923572</v>
      </c>
      <c r="AJ117">
        <f t="shared" si="66"/>
        <v>8.0159127339336091</v>
      </c>
      <c r="AK117">
        <f t="shared" si="64"/>
        <v>0.69555379910862891</v>
      </c>
      <c r="AL117">
        <f t="shared" si="65"/>
        <v>2.4311947612055596</v>
      </c>
    </row>
    <row r="118" spans="1:38">
      <c r="A118">
        <f t="shared" si="62"/>
        <v>1.503870353622937</v>
      </c>
      <c r="Z118">
        <f t="shared" si="63"/>
        <v>0.47123889803846447</v>
      </c>
      <c r="AA118">
        <f t="shared" si="50"/>
        <v>115</v>
      </c>
      <c r="AB118">
        <f t="shared" si="42"/>
        <v>-1.5621721276454357</v>
      </c>
      <c r="AC118">
        <f t="shared" si="47"/>
        <v>0.945503262094185</v>
      </c>
      <c r="AD118">
        <f t="shared" si="43"/>
        <v>-1.1081816279058954</v>
      </c>
      <c r="AE118">
        <f t="shared" si="44"/>
        <v>-0.94550326209418556</v>
      </c>
      <c r="AF118">
        <f t="shared" si="51"/>
        <v>3.612831551628255</v>
      </c>
      <c r="AJ118">
        <f t="shared" si="66"/>
        <v>8.0868500147648792</v>
      </c>
      <c r="AK118">
        <f t="shared" si="64"/>
        <v>0.90053925253192102</v>
      </c>
      <c r="AL118">
        <f t="shared" si="65"/>
        <v>2.2074580826360615</v>
      </c>
    </row>
    <row r="119" spans="1:38">
      <c r="A119">
        <f t="shared" si="62"/>
        <v>1.518057809789191</v>
      </c>
      <c r="Z119">
        <f t="shared" si="63"/>
        <v>0.50265482457436239</v>
      </c>
      <c r="AA119">
        <f t="shared" si="50"/>
        <v>116</v>
      </c>
      <c r="AB119">
        <f t="shared" si="42"/>
        <v>-1.560345751558571</v>
      </c>
      <c r="AC119">
        <f t="shared" si="47"/>
        <v>0.93815334002193285</v>
      </c>
      <c r="AD119">
        <f t="shared" si="43"/>
        <v>-1.0785920774568623</v>
      </c>
      <c r="AE119">
        <f t="shared" si="44"/>
        <v>-0.93815334002193351</v>
      </c>
      <c r="AF119">
        <f t="shared" si="51"/>
        <v>3.6442474781641527</v>
      </c>
      <c r="AJ119">
        <f t="shared" si="66"/>
        <v>8.1577872955961492</v>
      </c>
      <c r="AK119">
        <f t="shared" si="64"/>
        <v>1.0833504408394443</v>
      </c>
      <c r="AL119">
        <f t="shared" si="65"/>
        <v>1.9967351576351435</v>
      </c>
    </row>
    <row r="120" spans="1:38">
      <c r="A120">
        <f t="shared" si="62"/>
        <v>1.5322452659554451</v>
      </c>
      <c r="Z120">
        <f t="shared" si="63"/>
        <v>0.53407075111026037</v>
      </c>
      <c r="AA120">
        <f t="shared" si="50"/>
        <v>117</v>
      </c>
      <c r="AB120">
        <f t="shared" si="42"/>
        <v>-1.55828165911495</v>
      </c>
      <c r="AC120">
        <f t="shared" si="47"/>
        <v>0.93037101350197293</v>
      </c>
      <c r="AD120">
        <f t="shared" si="43"/>
        <v>-1.0492402433645855</v>
      </c>
      <c r="AE120">
        <f t="shared" si="44"/>
        <v>-0.93037101350197382</v>
      </c>
      <c r="AF120">
        <f t="shared" si="51"/>
        <v>3.6756634047000505</v>
      </c>
      <c r="AJ120">
        <f t="shared" si="66"/>
        <v>8.2287245764274193</v>
      </c>
      <c r="AK120">
        <f t="shared" si="64"/>
        <v>1.2394859458595233</v>
      </c>
      <c r="AL120">
        <f t="shared" si="65"/>
        <v>1.8047623407947504</v>
      </c>
    </row>
    <row r="121" spans="1:38">
      <c r="A121">
        <f t="shared" si="62"/>
        <v>1.5464327221216991</v>
      </c>
      <c r="Z121">
        <f t="shared" si="63"/>
        <v>0.56548667764615834</v>
      </c>
      <c r="AA121">
        <f t="shared" si="50"/>
        <v>118</v>
      </c>
      <c r="AB121">
        <f t="shared" si="42"/>
        <v>-1.5559663854613139</v>
      </c>
      <c r="AC121">
        <f t="shared" si="47"/>
        <v>0.92216396275100876</v>
      </c>
      <c r="AD121">
        <f t="shared" si="43"/>
        <v>-1.0201395904823238</v>
      </c>
      <c r="AE121">
        <f t="shared" si="44"/>
        <v>-0.92216396275100965</v>
      </c>
      <c r="AF121">
        <f t="shared" si="51"/>
        <v>3.7070793312359482</v>
      </c>
      <c r="AJ121">
        <f t="shared" si="66"/>
        <v>8.2996618572586893</v>
      </c>
      <c r="AK121">
        <f t="shared" si="64"/>
        <v>1.3651011932745338</v>
      </c>
      <c r="AL121">
        <f t="shared" si="65"/>
        <v>1.6390987882076635</v>
      </c>
    </row>
    <row r="122" spans="1:38">
      <c r="A122">
        <f t="shared" si="62"/>
        <v>1.5606201782879532</v>
      </c>
      <c r="Z122">
        <f t="shared" si="63"/>
        <v>0.59690260418205632</v>
      </c>
      <c r="AA122">
        <f t="shared" si="50"/>
        <v>119</v>
      </c>
      <c r="AB122">
        <f t="shared" si="42"/>
        <v>-1.5533867136299317</v>
      </c>
      <c r="AC122">
        <f t="shared" si="47"/>
        <v>0.91354028713728219</v>
      </c>
      <c r="AD122">
        <f t="shared" si="43"/>
        <v>-0.99130333577780805</v>
      </c>
      <c r="AE122">
        <f t="shared" si="44"/>
        <v>-0.91354028713728308</v>
      </c>
      <c r="AF122">
        <f t="shared" si="51"/>
        <v>3.738495257771846</v>
      </c>
      <c r="AJ122">
        <f t="shared" si="66"/>
        <v>8.3705991380899594</v>
      </c>
      <c r="AK122">
        <f t="shared" si="64"/>
        <v>1.4571031188000079</v>
      </c>
      <c r="AL122">
        <f t="shared" si="65"/>
        <v>1.5091826012557759</v>
      </c>
    </row>
    <row r="123" spans="1:38">
      <c r="A123">
        <f t="shared" si="62"/>
        <v>1.5748076344542072</v>
      </c>
      <c r="Z123">
        <f t="shared" si="63"/>
        <v>0.62831853071795429</v>
      </c>
      <c r="AA123">
        <f t="shared" si="50"/>
        <v>120</v>
      </c>
      <c r="AB123">
        <f t="shared" si="42"/>
        <v>-1.5505296875821544</v>
      </c>
      <c r="AC123">
        <f t="shared" si="47"/>
        <v>0.90450849718747506</v>
      </c>
      <c r="AD123">
        <f t="shared" si="43"/>
        <v>-0.96274443528968812</v>
      </c>
      <c r="AE123">
        <f t="shared" si="44"/>
        <v>-0.90450849718747617</v>
      </c>
      <c r="AF123">
        <f t="shared" si="51"/>
        <v>3.7699111843077437</v>
      </c>
      <c r="AJ123">
        <f t="shared" si="66"/>
        <v>8.4415364189212294</v>
      </c>
      <c r="AK123">
        <f t="shared" si="64"/>
        <v>1.5132263296926276</v>
      </c>
      <c r="AL123">
        <f t="shared" si="65"/>
        <v>1.4253571715846221</v>
      </c>
    </row>
    <row r="124" spans="1:38">
      <c r="A124">
        <f t="shared" si="62"/>
        <v>1.5889950906204613</v>
      </c>
      <c r="Z124">
        <f t="shared" si="63"/>
        <v>0.65973445725385227</v>
      </c>
      <c r="AA124">
        <f t="shared" si="50"/>
        <v>121</v>
      </c>
      <c r="AB124">
        <f t="shared" si="42"/>
        <v>-1.5473826249944569</v>
      </c>
      <c r="AC124">
        <f t="shared" si="47"/>
        <v>0.89507750618784643</v>
      </c>
      <c r="AD124">
        <f t="shared" si="43"/>
        <v>-0.9344755713414874</v>
      </c>
      <c r="AE124">
        <f t="shared" si="44"/>
        <v>-0.89507750618784776</v>
      </c>
      <c r="AF124">
        <f t="shared" si="51"/>
        <v>3.8013271108436415</v>
      </c>
      <c r="AJ124">
        <f t="shared" si="66"/>
        <v>8.5124736997524995</v>
      </c>
      <c r="AK124">
        <f t="shared" si="64"/>
        <v>1.532088886237956</v>
      </c>
      <c r="AL124">
        <f t="shared" si="65"/>
        <v>1.3962634015954638</v>
      </c>
    </row>
    <row r="125" spans="1:38">
      <c r="A125">
        <f t="shared" si="62"/>
        <v>1.6031825467867153</v>
      </c>
      <c r="Z125">
        <f t="shared" si="63"/>
        <v>0.69115038378975024</v>
      </c>
      <c r="AA125">
        <f t="shared" si="50"/>
        <v>122</v>
      </c>
      <c r="AB125">
        <f t="shared" si="42"/>
        <v>-1.5439331297743646</v>
      </c>
      <c r="AC125">
        <f t="shared" si="47"/>
        <v>0.88525662138789596</v>
      </c>
      <c r="AD125">
        <f t="shared" si="43"/>
        <v>-0.90650914002568195</v>
      </c>
      <c r="AE125">
        <f t="shared" si="44"/>
        <v>-0.8852566213878974</v>
      </c>
      <c r="AF125">
        <f t="shared" si="51"/>
        <v>3.8327430373795393</v>
      </c>
      <c r="AJ125">
        <f t="shared" si="66"/>
        <v>8.5834109805837695</v>
      </c>
      <c r="AK125">
        <f t="shared" si="64"/>
        <v>1.5132263296926127</v>
      </c>
      <c r="AL125">
        <f t="shared" si="65"/>
        <v>1.4253571715846447</v>
      </c>
    </row>
    <row r="126" spans="1:38">
      <c r="A126">
        <f t="shared" si="62"/>
        <v>1.6173700029529694</v>
      </c>
      <c r="Z126">
        <f t="shared" si="63"/>
        <v>0.72256631032564822</v>
      </c>
      <c r="AA126">
        <f t="shared" si="50"/>
        <v>123</v>
      </c>
      <c r="AB126">
        <f t="shared" si="42"/>
        <v>-1.5401691042938968</v>
      </c>
      <c r="AC126">
        <f t="shared" si="47"/>
        <v>0.87505553481523113</v>
      </c>
      <c r="AD126">
        <f t="shared" si="43"/>
        <v>-0.87885723897025203</v>
      </c>
      <c r="AE126">
        <f t="shared" si="44"/>
        <v>-0.87505553481523268</v>
      </c>
      <c r="AF126">
        <f t="shared" si="51"/>
        <v>3.864158963915437</v>
      </c>
      <c r="AJ126">
        <f t="shared" si="66"/>
        <v>8.6543482614150395</v>
      </c>
      <c r="AK126">
        <f t="shared" si="64"/>
        <v>1.4571031187999783</v>
      </c>
      <c r="AL126">
        <f t="shared" si="65"/>
        <v>1.5091826012558192</v>
      </c>
    </row>
    <row r="127" spans="1:38">
      <c r="A127">
        <f t="shared" si="62"/>
        <v>1.6315574591192235</v>
      </c>
      <c r="Z127">
        <f t="shared" si="63"/>
        <v>0.7539822368615462</v>
      </c>
      <c r="AA127">
        <f t="shared" si="50"/>
        <v>124</v>
      </c>
      <c r="AB127">
        <f t="shared" si="42"/>
        <v>-1.5360787613284663</v>
      </c>
      <c r="AC127">
        <f t="shared" si="47"/>
        <v>0.86448431371070722</v>
      </c>
      <c r="AD127">
        <f t="shared" si="43"/>
        <v>-0.8515316553997847</v>
      </c>
      <c r="AE127">
        <f t="shared" si="44"/>
        <v>-0.86448431371070877</v>
      </c>
      <c r="AF127">
        <f t="shared" si="51"/>
        <v>3.8955748904513348</v>
      </c>
      <c r="AJ127">
        <f t="shared" si="66"/>
        <v>8.7252855422463096</v>
      </c>
      <c r="AK127">
        <f t="shared" si="64"/>
        <v>1.3651011932744903</v>
      </c>
      <c r="AL127">
        <f t="shared" si="65"/>
        <v>1.6390987882077233</v>
      </c>
    </row>
    <row r="128" spans="1:38">
      <c r="A128">
        <f t="shared" si="62"/>
        <v>1.6457449152854775</v>
      </c>
      <c r="Z128">
        <f t="shared" si="63"/>
        <v>0.78539816339744417</v>
      </c>
      <c r="AA128">
        <f t="shared" si="50"/>
        <v>125</v>
      </c>
      <c r="AB128">
        <f t="shared" si="42"/>
        <v>-1.5316506356894468</v>
      </c>
      <c r="AC128">
        <f t="shared" si="47"/>
        <v>0.85355339059327529</v>
      </c>
      <c r="AD128">
        <f t="shared" si="43"/>
        <v>-0.82454385450290646</v>
      </c>
      <c r="AE128">
        <f t="shared" si="44"/>
        <v>-0.85355339059327695</v>
      </c>
      <c r="AF128">
        <f t="shared" si="51"/>
        <v>3.9269908169872325</v>
      </c>
      <c r="AJ128">
        <f t="shared" si="66"/>
        <v>8.7962228230775796</v>
      </c>
      <c r="AK128">
        <f t="shared" si="64"/>
        <v>1.2394859458594703</v>
      </c>
      <c r="AL128">
        <f t="shared" si="65"/>
        <v>1.8047623407948179</v>
      </c>
    </row>
    <row r="129" spans="1:38">
      <c r="A129">
        <f t="shared" si="62"/>
        <v>1.6599323714517316</v>
      </c>
      <c r="Z129">
        <f t="shared" si="63"/>
        <v>0.81681408993334215</v>
      </c>
      <c r="AA129">
        <f t="shared" si="50"/>
        <v>126</v>
      </c>
      <c r="AB129">
        <f t="shared" si="42"/>
        <v>-1.5268735955389299</v>
      </c>
      <c r="AC129">
        <f t="shared" si="47"/>
        <v>0.84227355296434581</v>
      </c>
      <c r="AD129">
        <f t="shared" si="43"/>
        <v>-0.7979049681175252</v>
      </c>
      <c r="AE129">
        <f t="shared" si="44"/>
        <v>-0.84227355296434769</v>
      </c>
      <c r="AF129">
        <f t="shared" si="51"/>
        <v>3.9584067435231303</v>
      </c>
      <c r="AJ129">
        <f t="shared" si="66"/>
        <v>8.8671601039088497</v>
      </c>
      <c r="AK129">
        <f t="shared" si="64"/>
        <v>1.0833504408393804</v>
      </c>
      <c r="AL129">
        <f t="shared" si="65"/>
        <v>1.9967351576352195</v>
      </c>
    </row>
    <row r="130" spans="1:38">
      <c r="A130">
        <f t="shared" si="62"/>
        <v>1.6741198276179856</v>
      </c>
      <c r="Z130">
        <f t="shared" si="63"/>
        <v>0.84823001646924012</v>
      </c>
      <c r="AA130">
        <f t="shared" si="50"/>
        <v>127</v>
      </c>
      <c r="AB130">
        <f t="shared" si="42"/>
        <v>-1.5217368533755049</v>
      </c>
      <c r="AC130">
        <f t="shared" si="47"/>
        <v>0.83065593266182747</v>
      </c>
      <c r="AD130">
        <f t="shared" si="43"/>
        <v>-0.7716257837450522</v>
      </c>
      <c r="AE130">
        <f t="shared" si="44"/>
        <v>-0.83065593266182947</v>
      </c>
      <c r="AF130">
        <f t="shared" si="51"/>
        <v>3.989822670059028</v>
      </c>
      <c r="AJ130">
        <f t="shared" si="66"/>
        <v>8.9380973847401197</v>
      </c>
      <c r="AK130">
        <f t="shared" si="64"/>
        <v>0.90053925253184341</v>
      </c>
      <c r="AL130">
        <f t="shared" si="65"/>
        <v>2.2074580826361485</v>
      </c>
    </row>
    <row r="131" spans="1:38">
      <c r="A131">
        <f t="shared" si="62"/>
        <v>1.6883072837842397</v>
      </c>
      <c r="Z131">
        <f t="shared" si="63"/>
        <v>0.8796459430051381</v>
      </c>
      <c r="AA131">
        <f t="shared" si="50"/>
        <v>128</v>
      </c>
      <c r="AB131">
        <f t="shared" ref="AB131:AB194" si="69">-xkathetos/2+Aktina*Z131-Aktina*SIN(Z131)</f>
        <v>-1.516229976680221</v>
      </c>
      <c r="AC131">
        <f t="shared" si="47"/>
        <v>0.81871199487434643</v>
      </c>
      <c r="AD131">
        <f t="shared" ref="AD131:AD194" si="70">Aktina*(AF131-SIN(AF131))-2*PI()*Aktina</f>
        <v>-0.74571673390443882</v>
      </c>
      <c r="AE131">
        <f t="shared" ref="AE131:AE194" si="71">-Aktina*(1-COS(AF131))</f>
        <v>-0.81871199487434854</v>
      </c>
      <c r="AF131">
        <f t="shared" si="51"/>
        <v>4.0212385965949258</v>
      </c>
      <c r="AJ131">
        <f t="shared" si="66"/>
        <v>9.0090346655713898</v>
      </c>
      <c r="AK131">
        <f t="shared" si="64"/>
        <v>0.69555379910854842</v>
      </c>
      <c r="AL131">
        <f t="shared" si="65"/>
        <v>2.4311947612056453</v>
      </c>
    </row>
    <row r="132" spans="1:38">
      <c r="A132">
        <f t="shared" si="62"/>
        <v>1.7024947399504937</v>
      </c>
      <c r="Z132">
        <f t="shared" ref="Z132:Z163" si="72">Z131+vimaex</f>
        <v>0.91106186954103607</v>
      </c>
      <c r="AA132">
        <f t="shared" si="50"/>
        <v>129</v>
      </c>
      <c r="AB132">
        <f t="shared" si="69"/>
        <v>-1.5103428982122225</v>
      </c>
      <c r="AC132">
        <f t="shared" ref="AC132:AC195" si="73">Aktina*(1+COS(Z132))</f>
        <v>0.80645352682648985</v>
      </c>
      <c r="AD132">
        <f t="shared" si="70"/>
        <v>-0.72018788583653937</v>
      </c>
      <c r="AE132">
        <f t="shared" si="71"/>
        <v>-0.80645352682649207</v>
      </c>
      <c r="AF132">
        <f t="shared" si="51"/>
        <v>4.0526545231308235</v>
      </c>
      <c r="AJ132">
        <f t="shared" si="66"/>
        <v>9.0799719464026598</v>
      </c>
      <c r="AK132">
        <f t="shared" ref="AK132:AK163" si="74">Platoskinishs*COS(2*PI()*AJ132/Tperiod)</f>
        <v>0.47344150274048924</v>
      </c>
      <c r="AL132">
        <f t="shared" ref="AL132:AL163" si="75">2*ACOS(AK132/(4*Aktina))</f>
        <v>2.6636140999566873</v>
      </c>
    </row>
    <row r="133" spans="1:38">
      <c r="A133">
        <f t="shared" si="62"/>
        <v>1.7166821961167478</v>
      </c>
      <c r="Z133">
        <f t="shared" si="72"/>
        <v>0.94247779607693405</v>
      </c>
      <c r="AA133">
        <f t="shared" ref="AA133:AA196" si="76">AA132+1</f>
        <v>130</v>
      </c>
      <c r="AB133">
        <f t="shared" si="69"/>
        <v>-1.5040659259439022</v>
      </c>
      <c r="AC133">
        <f t="shared" si="73"/>
        <v>0.79389262614623823</v>
      </c>
      <c r="AD133">
        <f t="shared" si="70"/>
        <v>-0.69504893156896186</v>
      </c>
      <c r="AE133">
        <f t="shared" si="71"/>
        <v>-0.79389262614624057</v>
      </c>
      <c r="AF133">
        <f t="shared" ref="AF133:AF196" si="77">AF132+2*PI()/200</f>
        <v>4.0840704496667213</v>
      </c>
      <c r="AJ133">
        <f t="shared" ref="AJ133:AJ164" si="78">AJ132+Tperiod/40</f>
        <v>9.1509092272339299</v>
      </c>
      <c r="AK133">
        <f t="shared" si="74"/>
        <v>0.23967150531269074</v>
      </c>
      <c r="AL133">
        <f t="shared" si="75"/>
        <v>2.9013437711965673</v>
      </c>
    </row>
    <row r="134" spans="1:38">
      <c r="A134">
        <f t="shared" si="62"/>
        <v>1.7308696522830018</v>
      </c>
      <c r="Z134">
        <f t="shared" si="72"/>
        <v>0.97389372261283202</v>
      </c>
      <c r="AA134">
        <f t="shared" si="76"/>
        <v>131</v>
      </c>
      <c r="AB134">
        <f t="shared" si="69"/>
        <v>-1.4973897526257602</v>
      </c>
      <c r="AC134">
        <f t="shared" si="73"/>
        <v>0.78104168892606696</v>
      </c>
      <c r="AD134">
        <f t="shared" si="70"/>
        <v>-0.6703091783512054</v>
      </c>
      <c r="AE134">
        <f t="shared" si="71"/>
        <v>-0.7810416889260694</v>
      </c>
      <c r="AF134">
        <f t="shared" si="77"/>
        <v>4.115486376202619</v>
      </c>
      <c r="AJ134">
        <f t="shared" si="78"/>
        <v>9.2218465080651999</v>
      </c>
      <c r="AK134">
        <f t="shared" si="74"/>
        <v>-2.3273755529099035E-14</v>
      </c>
      <c r="AL134">
        <f t="shared" si="75"/>
        <v>3.1415926535898162</v>
      </c>
    </row>
    <row r="135" spans="1:38">
      <c r="A135">
        <f t="shared" si="62"/>
        <v>1.7450571084492559</v>
      </c>
      <c r="Z135">
        <f t="shared" si="72"/>
        <v>1.0053096491487299</v>
      </c>
      <c r="AA135">
        <f t="shared" si="76"/>
        <v>132</v>
      </c>
      <c r="AB135">
        <f t="shared" si="69"/>
        <v>-1.4903054649715382</v>
      </c>
      <c r="AC135">
        <f t="shared" si="73"/>
        <v>0.76791339748950005</v>
      </c>
      <c r="AD135">
        <f t="shared" si="70"/>
        <v>-0.64597753946952974</v>
      </c>
      <c r="AE135">
        <f t="shared" si="71"/>
        <v>-0.76791339748950271</v>
      </c>
      <c r="AF135">
        <f t="shared" si="77"/>
        <v>4.1469023027385168</v>
      </c>
      <c r="AJ135">
        <f t="shared" si="78"/>
        <v>9.2927837888964699</v>
      </c>
      <c r="AK135">
        <f t="shared" si="74"/>
        <v>-0.23967150531274212</v>
      </c>
      <c r="AL135">
        <f t="shared" si="75"/>
        <v>3.3818415359830705</v>
      </c>
    </row>
    <row r="136" spans="1:38">
      <c r="A136">
        <f t="shared" si="62"/>
        <v>1.7592445646155099</v>
      </c>
      <c r="Z136">
        <f t="shared" si="72"/>
        <v>1.0367255756846279</v>
      </c>
      <c r="AA136">
        <f t="shared" si="76"/>
        <v>133</v>
      </c>
      <c r="AB136">
        <f t="shared" si="69"/>
        <v>-1.4828045524545534</v>
      </c>
      <c r="AC136">
        <f t="shared" si="73"/>
        <v>0.75452070787518732</v>
      </c>
      <c r="AD136">
        <f t="shared" si="70"/>
        <v>-0.62206252545061691</v>
      </c>
      <c r="AE136">
        <f t="shared" si="71"/>
        <v>-0.7545207078751901</v>
      </c>
      <c r="AF136">
        <f t="shared" si="77"/>
        <v>4.1783182292744145</v>
      </c>
      <c r="AJ136">
        <f t="shared" si="78"/>
        <v>9.36372106972774</v>
      </c>
      <c r="AK136">
        <f t="shared" si="74"/>
        <v>-0.47344150274053343</v>
      </c>
      <c r="AL136">
        <f t="shared" si="75"/>
        <v>3.6195712072229442</v>
      </c>
    </row>
    <row r="137" spans="1:38">
      <c r="A137">
        <f t="shared" si="62"/>
        <v>1.773432020781764</v>
      </c>
      <c r="Z137">
        <f t="shared" si="72"/>
        <v>1.0681415022205258</v>
      </c>
      <c r="AA137">
        <f t="shared" si="76"/>
        <v>134</v>
      </c>
      <c r="AB137">
        <f t="shared" si="69"/>
        <v>-1.4748789157065645</v>
      </c>
      <c r="AC137">
        <f t="shared" si="73"/>
        <v>0.74087683705085938</v>
      </c>
      <c r="AD137">
        <f t="shared" si="70"/>
        <v>-0.5985722356627079</v>
      </c>
      <c r="AE137">
        <f t="shared" si="71"/>
        <v>-0.74087683705086227</v>
      </c>
      <c r="AF137">
        <f t="shared" si="77"/>
        <v>4.2097341558103123</v>
      </c>
      <c r="AJ137">
        <f t="shared" si="78"/>
        <v>9.43465835055901</v>
      </c>
      <c r="AK137">
        <f t="shared" si="74"/>
        <v>-0.69555379910858994</v>
      </c>
      <c r="AL137">
        <f t="shared" si="75"/>
        <v>3.8519905459739849</v>
      </c>
    </row>
    <row r="138" spans="1:38">
      <c r="A138">
        <f t="shared" si="62"/>
        <v>1.787619476948018</v>
      </c>
      <c r="Z138">
        <f t="shared" si="72"/>
        <v>1.0995574287564238</v>
      </c>
      <c r="AA138">
        <f t="shared" si="76"/>
        <v>135</v>
      </c>
      <c r="AB138">
        <f t="shared" si="69"/>
        <v>-1.4665208745108675</v>
      </c>
      <c r="AC138">
        <f t="shared" si="73"/>
        <v>0.72699524986977515</v>
      </c>
      <c r="AD138">
        <f t="shared" si="70"/>
        <v>-0.57551435032250664</v>
      </c>
      <c r="AE138">
        <f t="shared" si="71"/>
        <v>-0.72699524986977826</v>
      </c>
      <c r="AF138">
        <f t="shared" si="77"/>
        <v>4.24115008234621</v>
      </c>
      <c r="AJ138">
        <f t="shared" si="78"/>
        <v>9.5055956313902801</v>
      </c>
      <c r="AK138">
        <f t="shared" si="74"/>
        <v>-0.9005392525318856</v>
      </c>
      <c r="AL138">
        <f t="shared" si="75"/>
        <v>4.0757272245434848</v>
      </c>
    </row>
    <row r="139" spans="1:38">
      <c r="A139">
        <f t="shared" si="62"/>
        <v>1.8018069331142721</v>
      </c>
      <c r="Z139">
        <f t="shared" si="72"/>
        <v>1.1309733552923218</v>
      </c>
      <c r="AA139">
        <f t="shared" si="76"/>
        <v>136</v>
      </c>
      <c r="AB139">
        <f t="shared" si="69"/>
        <v>-1.4577231753817446</v>
      </c>
      <c r="AC139">
        <f t="shared" si="73"/>
        <v>0.712889645782538</v>
      </c>
      <c r="AD139">
        <f t="shared" si="70"/>
        <v>-0.55289612291573187</v>
      </c>
      <c r="AE139">
        <f t="shared" si="71"/>
        <v>-0.71288964578254133</v>
      </c>
      <c r="AF139">
        <f t="shared" si="77"/>
        <v>4.2725660088821078</v>
      </c>
      <c r="AJ139">
        <f t="shared" si="78"/>
        <v>9.5765329122215501</v>
      </c>
      <c r="AK139">
        <f t="shared" si="74"/>
        <v>-1.0833504408394135</v>
      </c>
      <c r="AL139">
        <f t="shared" si="75"/>
        <v>4.2864501495444056</v>
      </c>
    </row>
    <row r="140" spans="1:38">
      <c r="A140">
        <f t="shared" si="62"/>
        <v>1.8159943892805261</v>
      </c>
      <c r="Z140">
        <f t="shared" si="72"/>
        <v>1.1623892818282198</v>
      </c>
      <c r="AA140">
        <f t="shared" si="76"/>
        <v>137</v>
      </c>
      <c r="AB140">
        <f t="shared" si="69"/>
        <v>-1.4484789987227766</v>
      </c>
      <c r="AC140">
        <f t="shared" si="73"/>
        <v>0.69857394531739203</v>
      </c>
      <c r="AD140">
        <f t="shared" si="70"/>
        <v>-0.53072437303880182</v>
      </c>
      <c r="AE140">
        <f t="shared" si="71"/>
        <v>-0.69857394531739547</v>
      </c>
      <c r="AF140">
        <f t="shared" si="77"/>
        <v>4.3039819354180056</v>
      </c>
      <c r="AJ140">
        <f t="shared" si="78"/>
        <v>9.6474701930528202</v>
      </c>
      <c r="AK140">
        <f t="shared" si="74"/>
        <v>-1.2394859458594976</v>
      </c>
      <c r="AL140">
        <f t="shared" si="75"/>
        <v>4.4784229663848034</v>
      </c>
    </row>
    <row r="141" spans="1:38">
      <c r="A141">
        <f t="shared" ref="A141:A204" si="79">A140+dt</f>
        <v>1.8301818454467802</v>
      </c>
      <c r="Z141">
        <f t="shared" si="72"/>
        <v>1.1938052083641177</v>
      </c>
      <c r="AA141">
        <f t="shared" si="76"/>
        <v>138</v>
      </c>
      <c r="AB141">
        <f t="shared" si="69"/>
        <v>-1.4387819655569627</v>
      </c>
      <c r="AC141">
        <f t="shared" si="73"/>
        <v>0.68406227634234074</v>
      </c>
      <c r="AD141">
        <f t="shared" si="70"/>
        <v>-0.50900547966871779</v>
      </c>
      <c r="AE141">
        <f t="shared" si="71"/>
        <v>-0.68406227634234429</v>
      </c>
      <c r="AF141">
        <f t="shared" si="77"/>
        <v>4.3353978619539033</v>
      </c>
      <c r="AJ141">
        <f t="shared" si="78"/>
        <v>9.7184074738840902</v>
      </c>
      <c r="AK141">
        <f t="shared" si="74"/>
        <v>-1.3651011932745138</v>
      </c>
      <c r="AL141">
        <f t="shared" si="75"/>
        <v>4.6440865189718954</v>
      </c>
    </row>
    <row r="142" spans="1:38">
      <c r="A142">
        <f t="shared" si="79"/>
        <v>1.8443693016130343</v>
      </c>
      <c r="Z142">
        <f t="shared" si="72"/>
        <v>1.2252211349000157</v>
      </c>
      <c r="AA142">
        <f t="shared" si="76"/>
        <v>139</v>
      </c>
      <c r="AB142">
        <f t="shared" si="69"/>
        <v>-1.4286261438220009</v>
      </c>
      <c r="AC142">
        <f t="shared" si="73"/>
        <v>0.66936896012264735</v>
      </c>
      <c r="AD142">
        <f t="shared" si="70"/>
        <v>-0.48774537486778158</v>
      </c>
      <c r="AE142">
        <f t="shared" si="71"/>
        <v>-0.66936896012265112</v>
      </c>
      <c r="AF142">
        <f t="shared" si="77"/>
        <v>4.3668137884898011</v>
      </c>
      <c r="AJ142">
        <f t="shared" si="78"/>
        <v>9.7893447547153603</v>
      </c>
      <c r="AK142">
        <f t="shared" si="74"/>
        <v>-1.4571031187999945</v>
      </c>
      <c r="AL142">
        <f t="shared" si="75"/>
        <v>4.7740027059237908</v>
      </c>
    </row>
    <row r="143" spans="1:38">
      <c r="A143">
        <f t="shared" si="79"/>
        <v>1.8585567577792883</v>
      </c>
      <c r="Z143">
        <f t="shared" si="72"/>
        <v>1.2566370614359137</v>
      </c>
      <c r="AA143">
        <f t="shared" si="76"/>
        <v>140</v>
      </c>
      <c r="AB143">
        <f t="shared" si="69"/>
        <v>-1.4180060542245159</v>
      </c>
      <c r="AC143">
        <f t="shared" si="73"/>
        <v>0.65450849718747539</v>
      </c>
      <c r="AD143">
        <f t="shared" si="70"/>
        <v>-0.46694953792936866</v>
      </c>
      <c r="AE143">
        <f t="shared" si="71"/>
        <v>-0.65450849718747928</v>
      </c>
      <c r="AF143">
        <f t="shared" si="77"/>
        <v>4.3982297150256988</v>
      </c>
      <c r="AJ143">
        <f t="shared" si="78"/>
        <v>9.8602820355466303</v>
      </c>
      <c r="AK143">
        <f t="shared" si="74"/>
        <v>-1.5132263296926207</v>
      </c>
      <c r="AL143">
        <f t="shared" si="75"/>
        <v>4.8578281355949535</v>
      </c>
    </row>
    <row r="144" spans="1:38">
      <c r="A144">
        <f t="shared" si="79"/>
        <v>1.8727442139455424</v>
      </c>
      <c r="Z144">
        <f t="shared" si="72"/>
        <v>1.2880529879718117</v>
      </c>
      <c r="AA144">
        <f t="shared" si="76"/>
        <v>141</v>
      </c>
      <c r="AB144">
        <f t="shared" si="69"/>
        <v>-1.4069166756474618</v>
      </c>
      <c r="AC144">
        <f t="shared" si="73"/>
        <v>0.63949555301961636</v>
      </c>
      <c r="AD144">
        <f t="shared" si="70"/>
        <v>-0.44662298997052474</v>
      </c>
      <c r="AE144">
        <f t="shared" si="71"/>
        <v>-0.63949555301962036</v>
      </c>
      <c r="AF144">
        <f t="shared" si="77"/>
        <v>4.4296456415615966</v>
      </c>
      <c r="AJ144">
        <f t="shared" si="78"/>
        <v>9.9312193163779003</v>
      </c>
      <c r="AK144">
        <f t="shared" si="74"/>
        <v>-1.532088886237956</v>
      </c>
      <c r="AL144">
        <f t="shared" si="75"/>
        <v>4.8869219055841224</v>
      </c>
    </row>
    <row r="145" spans="1:38">
      <c r="A145">
        <f t="shared" si="79"/>
        <v>1.8869316701117964</v>
      </c>
      <c r="Z145">
        <f t="shared" si="72"/>
        <v>1.3194689145077096</v>
      </c>
      <c r="AA145">
        <f t="shared" si="76"/>
        <v>142</v>
      </c>
      <c r="AB145">
        <f t="shared" si="69"/>
        <v>-1.3953534501053568</v>
      </c>
      <c r="AC145">
        <f t="shared" si="73"/>
        <v>0.62434494358242909</v>
      </c>
      <c r="AD145">
        <f t="shared" si="70"/>
        <v>-0.42677028897673175</v>
      </c>
      <c r="AE145">
        <f t="shared" si="71"/>
        <v>-0.6243449435824332</v>
      </c>
      <c r="AF145">
        <f t="shared" si="77"/>
        <v>4.4610615680974943</v>
      </c>
      <c r="AJ145">
        <f t="shared" si="78"/>
        <v>10.00215659720917</v>
      </c>
      <c r="AK145">
        <f t="shared" si="74"/>
        <v>-1.5132263296926196</v>
      </c>
      <c r="AL145">
        <f t="shared" si="75"/>
        <v>4.8578281355949517</v>
      </c>
    </row>
    <row r="146" spans="1:38">
      <c r="A146">
        <f t="shared" si="79"/>
        <v>1.9011191262780505</v>
      </c>
      <c r="Z146">
        <f t="shared" si="72"/>
        <v>1.3508848410436076</v>
      </c>
      <c r="AA146">
        <f t="shared" si="76"/>
        <v>143</v>
      </c>
      <c r="AB146">
        <f t="shared" si="69"/>
        <v>-1.3833122872424661</v>
      </c>
      <c r="AC146">
        <f t="shared" si="73"/>
        <v>0.60907162069827292</v>
      </c>
      <c r="AD146">
        <f t="shared" si="70"/>
        <v>-0.40739552530372469</v>
      </c>
      <c r="AE146">
        <f t="shared" si="71"/>
        <v>-0.60907162069827725</v>
      </c>
      <c r="AF146">
        <f t="shared" si="77"/>
        <v>4.4924774946333921</v>
      </c>
      <c r="AJ146">
        <f t="shared" si="78"/>
        <v>10.07309387804044</v>
      </c>
      <c r="AK146">
        <f t="shared" si="74"/>
        <v>-1.4571031187999937</v>
      </c>
      <c r="AL146">
        <f t="shared" si="75"/>
        <v>4.7740027059237899</v>
      </c>
    </row>
    <row r="147" spans="1:38">
      <c r="A147">
        <f t="shared" si="79"/>
        <v>1.9153065824443045</v>
      </c>
      <c r="Z147">
        <f t="shared" si="72"/>
        <v>1.3823007675795056</v>
      </c>
      <c r="AA147">
        <f t="shared" si="76"/>
        <v>144</v>
      </c>
      <c r="AB147">
        <f t="shared" si="69"/>
        <v>-1.3707895683694877</v>
      </c>
      <c r="AC147">
        <f t="shared" si="73"/>
        <v>0.59369065729286397</v>
      </c>
      <c r="AD147">
        <f t="shared" si="70"/>
        <v>-0.38850231764080512</v>
      </c>
      <c r="AE147">
        <f t="shared" si="71"/>
        <v>-0.59369065729286841</v>
      </c>
      <c r="AF147">
        <f t="shared" si="77"/>
        <v>4.5238934211692898</v>
      </c>
      <c r="AJ147">
        <f t="shared" si="78"/>
        <v>10.14403115887171</v>
      </c>
      <c r="AK147">
        <f t="shared" si="74"/>
        <v>-1.3651011932745103</v>
      </c>
      <c r="AL147">
        <f t="shared" si="75"/>
        <v>4.644086518971891</v>
      </c>
    </row>
    <row r="148" spans="1:38">
      <c r="A148">
        <f t="shared" si="79"/>
        <v>1.9294940386105586</v>
      </c>
      <c r="Z148">
        <f t="shared" si="72"/>
        <v>1.4137166941154036</v>
      </c>
      <c r="AA148">
        <f t="shared" si="76"/>
        <v>145</v>
      </c>
      <c r="AB148">
        <f t="shared" si="69"/>
        <v>-1.3577821500347633</v>
      </c>
      <c r="AC148">
        <f t="shared" si="73"/>
        <v>0.57821723252011714</v>
      </c>
      <c r="AD148">
        <f t="shared" si="70"/>
        <v>-0.37009380943963155</v>
      </c>
      <c r="AE148">
        <f t="shared" si="71"/>
        <v>-0.57821723252012169</v>
      </c>
      <c r="AF148">
        <f t="shared" si="77"/>
        <v>4.5553093477051876</v>
      </c>
      <c r="AJ148">
        <f t="shared" si="78"/>
        <v>10.214968439702981</v>
      </c>
      <c r="AK148">
        <f t="shared" si="74"/>
        <v>-1.2394859458594958</v>
      </c>
      <c r="AL148">
        <f t="shared" si="75"/>
        <v>4.4784229663848008</v>
      </c>
    </row>
    <row r="149" spans="1:38">
      <c r="A149">
        <f t="shared" si="79"/>
        <v>1.9436814947768126</v>
      </c>
      <c r="Z149">
        <f t="shared" si="72"/>
        <v>1.4451326206513015</v>
      </c>
      <c r="AA149">
        <f t="shared" si="76"/>
        <v>146</v>
      </c>
      <c r="AB149">
        <f t="shared" si="69"/>
        <v>-1.3442873671264846</v>
      </c>
      <c r="AC149">
        <f t="shared" si="73"/>
        <v>0.56266661678215379</v>
      </c>
      <c r="AD149">
        <f t="shared" si="70"/>
        <v>-0.35217266581201212</v>
      </c>
      <c r="AE149">
        <f t="shared" si="71"/>
        <v>-0.56266661678215846</v>
      </c>
      <c r="AF149">
        <f t="shared" si="77"/>
        <v>4.5867252742410853</v>
      </c>
      <c r="AJ149">
        <f t="shared" si="78"/>
        <v>10.285905720534251</v>
      </c>
      <c r="AK149">
        <f t="shared" si="74"/>
        <v>-1.0833504408394115</v>
      </c>
      <c r="AL149">
        <f t="shared" si="75"/>
        <v>4.2864501495444038</v>
      </c>
    </row>
    <row r="150" spans="1:38">
      <c r="A150">
        <f t="shared" si="79"/>
        <v>1.9578689509430667</v>
      </c>
      <c r="Z150">
        <f t="shared" si="72"/>
        <v>1.4765485471871995</v>
      </c>
      <c r="AA150">
        <f t="shared" si="76"/>
        <v>147</v>
      </c>
      <c r="AB150">
        <f t="shared" si="69"/>
        <v>-1.3303030355028367</v>
      </c>
      <c r="AC150">
        <f t="shared" si="73"/>
        <v>0.54705415665925883</v>
      </c>
      <c r="AD150">
        <f t="shared" si="70"/>
        <v>-0.33474107089976224</v>
      </c>
      <c r="AE150">
        <f t="shared" si="71"/>
        <v>-0.5470541566592636</v>
      </c>
      <c r="AF150">
        <f t="shared" si="77"/>
        <v>4.6181412007769831</v>
      </c>
      <c r="AJ150">
        <f t="shared" si="78"/>
        <v>10.356843001365521</v>
      </c>
      <c r="AK150">
        <f t="shared" si="74"/>
        <v>-0.90053925253187883</v>
      </c>
      <c r="AL150">
        <f t="shared" si="75"/>
        <v>4.0757272245434777</v>
      </c>
    </row>
    <row r="151" spans="1:38">
      <c r="A151">
        <f t="shared" si="79"/>
        <v>1.9720564071093207</v>
      </c>
      <c r="Z151">
        <f t="shared" si="72"/>
        <v>1.5079644737230975</v>
      </c>
      <c r="AA151">
        <f t="shared" si="76"/>
        <v>148</v>
      </c>
      <c r="AB151">
        <f t="shared" si="69"/>
        <v>-1.3158274541474835</v>
      </c>
      <c r="AC151">
        <f t="shared" si="73"/>
        <v>0.53139525976465829</v>
      </c>
      <c r="AD151">
        <f t="shared" si="70"/>
        <v>-0.31780072571921725</v>
      </c>
      <c r="AE151">
        <f t="shared" si="71"/>
        <v>-0.53139525976466329</v>
      </c>
      <c r="AF151">
        <f t="shared" si="77"/>
        <v>4.6495571273128808</v>
      </c>
      <c r="AJ151">
        <f t="shared" si="78"/>
        <v>10.427780282196791</v>
      </c>
      <c r="AK151">
        <f t="shared" si="74"/>
        <v>-0.6955537991085875</v>
      </c>
      <c r="AL151">
        <f t="shared" si="75"/>
        <v>3.8519905459739827</v>
      </c>
    </row>
    <row r="152" spans="1:38">
      <c r="A152">
        <f t="shared" si="79"/>
        <v>1.9862438632755748</v>
      </c>
      <c r="Z152">
        <f t="shared" si="72"/>
        <v>1.5393804002589955</v>
      </c>
      <c r="AA152">
        <f t="shared" si="76"/>
        <v>149</v>
      </c>
      <c r="AB152">
        <f t="shared" si="69"/>
        <v>-1.3008594068482646</v>
      </c>
      <c r="AC152">
        <f t="shared" si="73"/>
        <v>0.5157053795390657</v>
      </c>
      <c r="AD152">
        <f t="shared" si="70"/>
        <v>-0.30135284648253835</v>
      </c>
      <c r="AE152">
        <f t="shared" si="71"/>
        <v>-0.51570537953907081</v>
      </c>
      <c r="AF152">
        <f t="shared" si="77"/>
        <v>4.6809730538487786</v>
      </c>
      <c r="AJ152">
        <f t="shared" si="78"/>
        <v>10.498717563028061</v>
      </c>
      <c r="AK152">
        <f t="shared" si="74"/>
        <v>-0.4734415027405256</v>
      </c>
      <c r="AL152">
        <f t="shared" si="75"/>
        <v>3.6195712072229362</v>
      </c>
    </row>
    <row r="153" spans="1:38">
      <c r="A153">
        <f t="shared" si="79"/>
        <v>2.0004313194418288</v>
      </c>
      <c r="Z153">
        <f t="shared" si="72"/>
        <v>1.5707963267948934</v>
      </c>
      <c r="AA153">
        <f t="shared" si="76"/>
        <v>150</v>
      </c>
      <c r="AB153">
        <f t="shared" si="69"/>
        <v>-1.2853981633974498</v>
      </c>
      <c r="AC153">
        <f t="shared" si="73"/>
        <v>0.50000000000000155</v>
      </c>
      <c r="AD153">
        <f t="shared" si="70"/>
        <v>-0.28539816339745494</v>
      </c>
      <c r="AE153">
        <f t="shared" si="71"/>
        <v>-0.50000000000000677</v>
      </c>
      <c r="AF153">
        <f t="shared" si="77"/>
        <v>4.7123889803846764</v>
      </c>
      <c r="AJ153">
        <f t="shared" si="78"/>
        <v>10.569654843859331</v>
      </c>
      <c r="AK153">
        <f t="shared" si="74"/>
        <v>-0.23967150531273934</v>
      </c>
      <c r="AL153">
        <f t="shared" si="75"/>
        <v>3.3818415359830678</v>
      </c>
    </row>
    <row r="154" spans="1:38">
      <c r="A154">
        <f t="shared" si="79"/>
        <v>2.0146187756080831</v>
      </c>
      <c r="Z154">
        <f t="shared" si="72"/>
        <v>1.6022122533307914</v>
      </c>
      <c r="AA154">
        <f t="shared" si="76"/>
        <v>151</v>
      </c>
      <c r="AB154">
        <f t="shared" si="69"/>
        <v>-1.2694434803123666</v>
      </c>
      <c r="AC154">
        <f t="shared" si="73"/>
        <v>0.48429462046093741</v>
      </c>
      <c r="AD154">
        <f t="shared" si="70"/>
        <v>-0.26993691994664015</v>
      </c>
      <c r="AE154">
        <f t="shared" si="71"/>
        <v>-0.48429462046094268</v>
      </c>
      <c r="AF154">
        <f t="shared" si="77"/>
        <v>4.7438049069205741</v>
      </c>
      <c r="AJ154">
        <f t="shared" si="78"/>
        <v>10.640592124690601</v>
      </c>
      <c r="AK154">
        <f t="shared" si="74"/>
        <v>-2.5901606393558976E-14</v>
      </c>
      <c r="AL154">
        <f t="shared" si="75"/>
        <v>3.1415926535898189</v>
      </c>
    </row>
    <row r="155" spans="1:38">
      <c r="A155">
        <f t="shared" si="79"/>
        <v>2.0288062317743374</v>
      </c>
      <c r="Z155">
        <f t="shared" si="72"/>
        <v>1.6336281798666894</v>
      </c>
      <c r="AA155">
        <f t="shared" si="76"/>
        <v>152</v>
      </c>
      <c r="AB155">
        <f t="shared" si="69"/>
        <v>-1.2529956010756877</v>
      </c>
      <c r="AC155">
        <f t="shared" si="73"/>
        <v>0.46860474023534487</v>
      </c>
      <c r="AD155">
        <f t="shared" si="70"/>
        <v>-0.25496887264742085</v>
      </c>
      <c r="AE155">
        <f t="shared" si="71"/>
        <v>-0.46860474023535026</v>
      </c>
      <c r="AF155">
        <f t="shared" si="77"/>
        <v>4.7752208334564719</v>
      </c>
      <c r="AJ155">
        <f t="shared" si="78"/>
        <v>10.711529405521871</v>
      </c>
      <c r="AK155">
        <f t="shared" si="74"/>
        <v>0.23967150531269354</v>
      </c>
      <c r="AL155">
        <f t="shared" si="75"/>
        <v>2.9013437711965646</v>
      </c>
    </row>
    <row r="156" spans="1:38">
      <c r="A156">
        <f t="shared" si="79"/>
        <v>2.0429936879405917</v>
      </c>
      <c r="Z156">
        <f t="shared" si="72"/>
        <v>1.6650441064025874</v>
      </c>
      <c r="AA156">
        <f t="shared" si="76"/>
        <v>153</v>
      </c>
      <c r="AB156">
        <f t="shared" si="69"/>
        <v>-1.236055255895143</v>
      </c>
      <c r="AC156">
        <f t="shared" si="73"/>
        <v>0.45294584334074434</v>
      </c>
      <c r="AD156">
        <f t="shared" si="70"/>
        <v>-0.24049329129206765</v>
      </c>
      <c r="AE156">
        <f t="shared" si="71"/>
        <v>-0.45294584334074983</v>
      </c>
      <c r="AF156">
        <f t="shared" si="77"/>
        <v>4.8066367599923696</v>
      </c>
      <c r="AJ156">
        <f t="shared" si="78"/>
        <v>10.782466686353141</v>
      </c>
      <c r="AK156">
        <f t="shared" si="74"/>
        <v>0.47344150274048669</v>
      </c>
      <c r="AL156">
        <f t="shared" si="75"/>
        <v>2.66361409995669</v>
      </c>
    </row>
    <row r="157" spans="1:38">
      <c r="A157">
        <f t="shared" si="79"/>
        <v>2.0571811441068459</v>
      </c>
      <c r="Z157">
        <f t="shared" si="72"/>
        <v>1.6964600329384854</v>
      </c>
      <c r="AA157">
        <f t="shared" si="76"/>
        <v>154</v>
      </c>
      <c r="AB157">
        <f t="shared" si="69"/>
        <v>-1.2186236609828929</v>
      </c>
      <c r="AC157">
        <f t="shared" si="73"/>
        <v>0.43733338321784937</v>
      </c>
      <c r="AD157">
        <f t="shared" si="70"/>
        <v>-0.22650895966841977</v>
      </c>
      <c r="AE157">
        <f t="shared" si="71"/>
        <v>-0.43733338321785492</v>
      </c>
      <c r="AF157">
        <f t="shared" si="77"/>
        <v>4.8380526865282674</v>
      </c>
      <c r="AJ157">
        <f t="shared" si="78"/>
        <v>10.853403967184411</v>
      </c>
      <c r="AK157">
        <f t="shared" si="74"/>
        <v>0.69555379910855097</v>
      </c>
      <c r="AL157">
        <f t="shared" si="75"/>
        <v>2.4311947612056426</v>
      </c>
    </row>
    <row r="158" spans="1:38">
      <c r="A158">
        <f t="shared" si="79"/>
        <v>2.0713686002731002</v>
      </c>
      <c r="Z158">
        <f t="shared" si="72"/>
        <v>1.7278759594743833</v>
      </c>
      <c r="AA158">
        <f t="shared" si="76"/>
        <v>155</v>
      </c>
      <c r="AB158">
        <f t="shared" si="69"/>
        <v>-1.2007025173552739</v>
      </c>
      <c r="AC158">
        <f t="shared" si="73"/>
        <v>0.42178276747988602</v>
      </c>
      <c r="AD158">
        <f t="shared" si="70"/>
        <v>-0.21301417676014056</v>
      </c>
      <c r="AE158">
        <f t="shared" si="71"/>
        <v>-0.42178276747989168</v>
      </c>
      <c r="AF158">
        <f t="shared" si="77"/>
        <v>4.8694686130641651</v>
      </c>
      <c r="AJ158">
        <f t="shared" si="78"/>
        <v>10.924341248015681</v>
      </c>
      <c r="AK158">
        <f t="shared" si="74"/>
        <v>0.90053925253184586</v>
      </c>
      <c r="AL158">
        <f t="shared" si="75"/>
        <v>2.2074580826361458</v>
      </c>
    </row>
    <row r="159" spans="1:38">
      <c r="A159">
        <f t="shared" si="79"/>
        <v>2.0855560564393545</v>
      </c>
      <c r="Z159">
        <f t="shared" si="72"/>
        <v>1.7592918860102813</v>
      </c>
      <c r="AA159">
        <f t="shared" si="76"/>
        <v>156</v>
      </c>
      <c r="AB159">
        <f t="shared" si="69"/>
        <v>-1.1822940091541005</v>
      </c>
      <c r="AC159">
        <f t="shared" si="73"/>
        <v>0.40630934270713914</v>
      </c>
      <c r="AD159">
        <f t="shared" si="70"/>
        <v>-0.20000675842541593</v>
      </c>
      <c r="AE159">
        <f t="shared" si="71"/>
        <v>-0.40630934270714486</v>
      </c>
      <c r="AF159">
        <f t="shared" si="77"/>
        <v>4.9008845396000629</v>
      </c>
      <c r="AJ159">
        <f t="shared" si="78"/>
        <v>10.995278528846951</v>
      </c>
      <c r="AK159">
        <f t="shared" si="74"/>
        <v>1.0833504408393826</v>
      </c>
      <c r="AL159">
        <f t="shared" si="75"/>
        <v>1.996735157635217</v>
      </c>
    </row>
    <row r="160" spans="1:38">
      <c r="A160">
        <f t="shared" si="79"/>
        <v>2.0997435126056088</v>
      </c>
      <c r="Z160">
        <f t="shared" si="72"/>
        <v>1.7907078125461793</v>
      </c>
      <c r="AA160">
        <f t="shared" si="76"/>
        <v>157</v>
      </c>
      <c r="AB160">
        <f t="shared" si="69"/>
        <v>-1.163400801491181</v>
      </c>
      <c r="AC160">
        <f t="shared" si="73"/>
        <v>0.39092837930173013</v>
      </c>
      <c r="AD160">
        <f t="shared" si="70"/>
        <v>-0.18748403955243731</v>
      </c>
      <c r="AE160">
        <f t="shared" si="71"/>
        <v>-0.39092837930173591</v>
      </c>
      <c r="AF160">
        <f t="shared" si="77"/>
        <v>4.9323004661359606</v>
      </c>
      <c r="AJ160">
        <f t="shared" si="78"/>
        <v>11.066215809678221</v>
      </c>
      <c r="AK160">
        <f t="shared" si="74"/>
        <v>1.2394859458594718</v>
      </c>
      <c r="AL160">
        <f t="shared" si="75"/>
        <v>1.8047623407948161</v>
      </c>
    </row>
    <row r="161" spans="1:38">
      <c r="A161">
        <f t="shared" si="79"/>
        <v>2.113930968771863</v>
      </c>
      <c r="Z161">
        <f t="shared" si="72"/>
        <v>1.8221237390820773</v>
      </c>
      <c r="AA161">
        <f t="shared" si="76"/>
        <v>158</v>
      </c>
      <c r="AB161">
        <f t="shared" si="69"/>
        <v>-1.1440260378181739</v>
      </c>
      <c r="AC161">
        <f t="shared" si="73"/>
        <v>0.37565505641757396</v>
      </c>
      <c r="AD161">
        <f t="shared" si="70"/>
        <v>-0.17544287668954661</v>
      </c>
      <c r="AE161">
        <f t="shared" si="71"/>
        <v>-0.37565505641757985</v>
      </c>
      <c r="AF161">
        <f t="shared" si="77"/>
        <v>4.9637163926718584</v>
      </c>
      <c r="AJ161">
        <f t="shared" si="78"/>
        <v>11.137153090509491</v>
      </c>
      <c r="AK161">
        <f t="shared" si="74"/>
        <v>1.3651011932744916</v>
      </c>
      <c r="AL161">
        <f t="shared" si="75"/>
        <v>1.6390987882077213</v>
      </c>
    </row>
    <row r="162" spans="1:38">
      <c r="A162">
        <f t="shared" si="79"/>
        <v>2.1281184249381173</v>
      </c>
      <c r="Z162">
        <f t="shared" si="72"/>
        <v>1.8535396656179752</v>
      </c>
      <c r="AA162">
        <f t="shared" si="76"/>
        <v>159</v>
      </c>
      <c r="AB162">
        <f t="shared" si="69"/>
        <v>-1.1241733368243809</v>
      </c>
      <c r="AC162">
        <f t="shared" si="73"/>
        <v>0.36050444698038675</v>
      </c>
      <c r="AD162">
        <f t="shared" si="70"/>
        <v>-0.16387965114744141</v>
      </c>
      <c r="AE162">
        <f t="shared" si="71"/>
        <v>-0.36050444698039263</v>
      </c>
      <c r="AF162">
        <f t="shared" si="77"/>
        <v>4.9951323192077561</v>
      </c>
      <c r="AJ162">
        <f t="shared" si="78"/>
        <v>11.208090371340761</v>
      </c>
      <c r="AK162">
        <f t="shared" si="74"/>
        <v>1.4571031187999792</v>
      </c>
      <c r="AL162">
        <f t="shared" si="75"/>
        <v>1.5091826012558176</v>
      </c>
    </row>
    <row r="163" spans="1:38">
      <c r="A163">
        <f t="shared" si="79"/>
        <v>2.1423058811043716</v>
      </c>
      <c r="Z163">
        <f t="shared" si="72"/>
        <v>1.8849555921538732</v>
      </c>
      <c r="AA163">
        <f t="shared" si="76"/>
        <v>160</v>
      </c>
      <c r="AB163">
        <f t="shared" si="69"/>
        <v>-1.1038467888655372</v>
      </c>
      <c r="AC163">
        <f t="shared" si="73"/>
        <v>0.34549150281252761</v>
      </c>
      <c r="AD163">
        <f t="shared" si="70"/>
        <v>-0.15279027257038713</v>
      </c>
      <c r="AE163">
        <f t="shared" si="71"/>
        <v>-0.3454915028125336</v>
      </c>
      <c r="AF163">
        <f t="shared" si="77"/>
        <v>5.0265482457436539</v>
      </c>
      <c r="AJ163">
        <f t="shared" si="78"/>
        <v>11.279027652172031</v>
      </c>
      <c r="AK163">
        <f t="shared" si="74"/>
        <v>1.5132263296926132</v>
      </c>
      <c r="AL163">
        <f t="shared" si="75"/>
        <v>1.425357171584644</v>
      </c>
    </row>
    <row r="164" spans="1:38">
      <c r="A164">
        <f t="shared" si="79"/>
        <v>2.1564933372706259</v>
      </c>
      <c r="Z164">
        <f t="shared" ref="Z164:Z195" si="80">Z163+vimaex</f>
        <v>1.9163715186897712</v>
      </c>
      <c r="AA164">
        <f t="shared" si="76"/>
        <v>161</v>
      </c>
      <c r="AB164">
        <f t="shared" si="69"/>
        <v>-1.0830509519271241</v>
      </c>
      <c r="AC164">
        <f t="shared" si="73"/>
        <v>0.33063103987735554</v>
      </c>
      <c r="AD164">
        <f t="shared" si="70"/>
        <v>-0.14217018297290185</v>
      </c>
      <c r="AE164">
        <f t="shared" si="71"/>
        <v>-0.33063103987736159</v>
      </c>
      <c r="AF164">
        <f t="shared" si="77"/>
        <v>5.0579641722795516</v>
      </c>
      <c r="AJ164">
        <f t="shared" si="78"/>
        <v>11.349964933003301</v>
      </c>
      <c r="AK164">
        <f t="shared" ref="AK164:AK184" si="81">Platoskinishs*COS(2*PI()*AJ164/Tperiod)</f>
        <v>1.532088886237956</v>
      </c>
      <c r="AL164">
        <f t="shared" ref="AL164:AL184" si="82">2*ACOS(AK164/(4*Aktina))</f>
        <v>1.3962634015954638</v>
      </c>
    </row>
    <row r="165" spans="1:38">
      <c r="A165">
        <f t="shared" si="79"/>
        <v>2.1706807934368801</v>
      </c>
      <c r="Z165">
        <f t="shared" si="80"/>
        <v>1.9477874452256692</v>
      </c>
      <c r="AA165">
        <f t="shared" si="76"/>
        <v>162</v>
      </c>
      <c r="AB165">
        <f t="shared" si="69"/>
        <v>-1.0617908471261881</v>
      </c>
      <c r="AC165">
        <f t="shared" si="73"/>
        <v>0.31593772365766226</v>
      </c>
      <c r="AD165">
        <f t="shared" si="70"/>
        <v>-0.13201436123793986</v>
      </c>
      <c r="AE165">
        <f t="shared" si="71"/>
        <v>-0.31593772365766826</v>
      </c>
      <c r="AF165">
        <f t="shared" si="77"/>
        <v>5.0893800988154494</v>
      </c>
      <c r="AJ165">
        <f t="shared" ref="AJ165:AJ184" si="83">AJ164+Tperiod/40</f>
        <v>11.420902213834571</v>
      </c>
      <c r="AK165">
        <f t="shared" si="81"/>
        <v>1.5132263296926265</v>
      </c>
      <c r="AL165">
        <f t="shared" si="82"/>
        <v>1.4253571715846236</v>
      </c>
    </row>
    <row r="166" spans="1:38">
      <c r="A166">
        <f t="shared" si="79"/>
        <v>2.1848682496031344</v>
      </c>
      <c r="Z166">
        <f t="shared" si="80"/>
        <v>1.9792033717615671</v>
      </c>
      <c r="AA166">
        <f t="shared" si="76"/>
        <v>163</v>
      </c>
      <c r="AB166">
        <f t="shared" si="69"/>
        <v>-1.0400719537561041</v>
      </c>
      <c r="AC166">
        <f t="shared" si="73"/>
        <v>0.30142605468261086</v>
      </c>
      <c r="AD166">
        <f t="shared" si="70"/>
        <v>-0.1223173280721257</v>
      </c>
      <c r="AE166">
        <f t="shared" si="71"/>
        <v>-0.30142605468261696</v>
      </c>
      <c r="AF166">
        <f t="shared" si="77"/>
        <v>5.1207960253513471</v>
      </c>
      <c r="AJ166">
        <f t="shared" si="83"/>
        <v>11.491839494665841</v>
      </c>
      <c r="AK166">
        <f t="shared" si="81"/>
        <v>1.457103118800007</v>
      </c>
      <c r="AL166">
        <f t="shared" si="82"/>
        <v>1.509182601255777</v>
      </c>
    </row>
    <row r="167" spans="1:38">
      <c r="A167">
        <f t="shared" si="79"/>
        <v>2.1990557057693887</v>
      </c>
      <c r="Z167">
        <f t="shared" si="80"/>
        <v>2.0106192982974651</v>
      </c>
      <c r="AA167">
        <f t="shared" si="76"/>
        <v>164</v>
      </c>
      <c r="AB167">
        <f t="shared" si="69"/>
        <v>-1.0179002038791742</v>
      </c>
      <c r="AC167">
        <f t="shared" si="73"/>
        <v>0.28711035421746484</v>
      </c>
      <c r="AD167">
        <f t="shared" si="70"/>
        <v>-0.11307315141315755</v>
      </c>
      <c r="AE167">
        <f t="shared" si="71"/>
        <v>-0.28711035421747089</v>
      </c>
      <c r="AF167">
        <f t="shared" si="77"/>
        <v>5.1522119518872449</v>
      </c>
      <c r="AJ167">
        <f t="shared" si="83"/>
        <v>11.562776775497111</v>
      </c>
      <c r="AK167">
        <f t="shared" si="81"/>
        <v>1.3651011932745301</v>
      </c>
      <c r="AL167">
        <f t="shared" si="82"/>
        <v>1.6390987882076686</v>
      </c>
    </row>
    <row r="168" spans="1:38">
      <c r="A168">
        <f t="shared" si="79"/>
        <v>2.213243161935643</v>
      </c>
      <c r="Z168">
        <f t="shared" si="80"/>
        <v>2.0420352248333629</v>
      </c>
      <c r="AA168">
        <f t="shared" si="76"/>
        <v>165</v>
      </c>
      <c r="AB168">
        <f t="shared" si="69"/>
        <v>-0.99528197647239969</v>
      </c>
      <c r="AC168">
        <f t="shared" si="73"/>
        <v>0.27300475013022785</v>
      </c>
      <c r="AD168">
        <f t="shared" si="70"/>
        <v>-0.10427545228403412</v>
      </c>
      <c r="AE168">
        <f t="shared" si="71"/>
        <v>-0.27300475013023384</v>
      </c>
      <c r="AF168">
        <f t="shared" si="77"/>
        <v>5.1836278784231427</v>
      </c>
      <c r="AJ168">
        <f t="shared" si="83"/>
        <v>11.633714056328381</v>
      </c>
      <c r="AK168">
        <f t="shared" si="81"/>
        <v>1.2394859458595215</v>
      </c>
      <c r="AL168">
        <f t="shared" si="82"/>
        <v>1.8047623407947528</v>
      </c>
    </row>
    <row r="169" spans="1:38">
      <c r="A169">
        <f t="shared" si="79"/>
        <v>2.2274306181018972</v>
      </c>
      <c r="Z169">
        <f t="shared" si="80"/>
        <v>2.0734511513692606</v>
      </c>
      <c r="AA169">
        <f t="shared" si="76"/>
        <v>166</v>
      </c>
      <c r="AB169">
        <f t="shared" si="69"/>
        <v>-0.97222409113219876</v>
      </c>
      <c r="AC169">
        <f t="shared" si="73"/>
        <v>0.25912316294914362</v>
      </c>
      <c r="AD169">
        <f t="shared" si="70"/>
        <v>-9.5917411088337179E-2</v>
      </c>
      <c r="AE169">
        <f t="shared" si="71"/>
        <v>-0.2591231629491495</v>
      </c>
      <c r="AF169">
        <f t="shared" si="77"/>
        <v>5.2150438049590404</v>
      </c>
      <c r="AJ169">
        <f t="shared" si="83"/>
        <v>11.704651337159651</v>
      </c>
      <c r="AK169">
        <f t="shared" si="81"/>
        <v>1.0833504408394461</v>
      </c>
      <c r="AL169">
        <f t="shared" si="82"/>
        <v>1.9967351576351415</v>
      </c>
    </row>
    <row r="170" spans="1:38">
      <c r="A170">
        <f t="shared" si="79"/>
        <v>2.2416180742681515</v>
      </c>
      <c r="Z170">
        <f t="shared" si="80"/>
        <v>2.1048670779051584</v>
      </c>
      <c r="AA170">
        <f t="shared" si="76"/>
        <v>167</v>
      </c>
      <c r="AB170">
        <f t="shared" si="69"/>
        <v>-0.94873380134428997</v>
      </c>
      <c r="AC170">
        <f t="shared" si="73"/>
        <v>0.24547929212481567</v>
      </c>
      <c r="AD170">
        <f t="shared" si="70"/>
        <v>-8.7991774340347995E-2</v>
      </c>
      <c r="AE170">
        <f t="shared" si="71"/>
        <v>-0.24547929212482145</v>
      </c>
      <c r="AF170">
        <f t="shared" si="77"/>
        <v>5.2464597314949382</v>
      </c>
      <c r="AJ170">
        <f t="shared" si="83"/>
        <v>11.775588617990921</v>
      </c>
      <c r="AK170">
        <f t="shared" si="81"/>
        <v>0.90053925253191858</v>
      </c>
      <c r="AL170">
        <f t="shared" si="82"/>
        <v>2.2074580826360641</v>
      </c>
    </row>
    <row r="171" spans="1:38">
      <c r="A171">
        <f t="shared" si="79"/>
        <v>2.2558055304344058</v>
      </c>
      <c r="Z171">
        <f t="shared" si="80"/>
        <v>2.1362830044410561</v>
      </c>
      <c r="AA171">
        <f t="shared" si="76"/>
        <v>168</v>
      </c>
      <c r="AB171">
        <f t="shared" si="69"/>
        <v>-0.92481878732537692</v>
      </c>
      <c r="AC171">
        <f t="shared" si="73"/>
        <v>0.23208660251050306</v>
      </c>
      <c r="AD171">
        <f t="shared" si="70"/>
        <v>-8.0490861823363069E-2</v>
      </c>
      <c r="AE171">
        <f t="shared" si="71"/>
        <v>-0.23208660251050878</v>
      </c>
      <c r="AF171">
        <f t="shared" si="77"/>
        <v>5.2778756580308359</v>
      </c>
      <c r="AJ171">
        <f t="shared" si="83"/>
        <v>11.846525898822192</v>
      </c>
      <c r="AK171">
        <f t="shared" si="81"/>
        <v>0.69555379910863124</v>
      </c>
      <c r="AL171">
        <f t="shared" si="82"/>
        <v>2.4311947612055569</v>
      </c>
    </row>
    <row r="172" spans="1:38">
      <c r="A172">
        <f t="shared" si="79"/>
        <v>2.2699929866006601</v>
      </c>
      <c r="Z172">
        <f t="shared" si="80"/>
        <v>2.1676989309769539</v>
      </c>
      <c r="AA172">
        <f t="shared" si="76"/>
        <v>169</v>
      </c>
      <c r="AB172">
        <f t="shared" si="69"/>
        <v>-0.90048714844370148</v>
      </c>
      <c r="AC172">
        <f t="shared" si="73"/>
        <v>0.21895831107393615</v>
      </c>
      <c r="AD172">
        <f t="shared" si="70"/>
        <v>-7.3406574169140537E-2</v>
      </c>
      <c r="AE172">
        <f t="shared" si="71"/>
        <v>-0.2189583110739417</v>
      </c>
      <c r="AF172">
        <f t="shared" si="77"/>
        <v>5.3092915845667337</v>
      </c>
      <c r="AJ172">
        <f t="shared" si="83"/>
        <v>11.917463179653462</v>
      </c>
      <c r="AK172">
        <f t="shared" si="81"/>
        <v>0.4734415027405724</v>
      </c>
      <c r="AL172">
        <f t="shared" si="82"/>
        <v>2.6636140999566016</v>
      </c>
    </row>
    <row r="173" spans="1:38">
      <c r="A173">
        <f t="shared" si="79"/>
        <v>2.2841804427669143</v>
      </c>
      <c r="Z173">
        <f t="shared" si="80"/>
        <v>2.1991148575128516</v>
      </c>
      <c r="AA173">
        <f t="shared" si="76"/>
        <v>170</v>
      </c>
      <c r="AB173">
        <f t="shared" si="69"/>
        <v>-0.87574739522594558</v>
      </c>
      <c r="AC173">
        <f t="shared" si="73"/>
        <v>0.20610737385376493</v>
      </c>
      <c r="AD173">
        <f t="shared" si="70"/>
        <v>-6.6730400850998794E-2</v>
      </c>
      <c r="AE173">
        <f t="shared" si="71"/>
        <v>-0.20610737385377037</v>
      </c>
      <c r="AF173">
        <f t="shared" si="77"/>
        <v>5.3407075111026314</v>
      </c>
      <c r="AJ173">
        <f t="shared" si="83"/>
        <v>11.988400460484732</v>
      </c>
      <c r="AK173">
        <f t="shared" si="81"/>
        <v>0.2396715053127825</v>
      </c>
      <c r="AL173">
        <f t="shared" si="82"/>
        <v>2.9013437711964749</v>
      </c>
    </row>
    <row r="174" spans="1:38">
      <c r="A174">
        <f t="shared" si="79"/>
        <v>2.2983678989331686</v>
      </c>
      <c r="Z174">
        <f t="shared" si="80"/>
        <v>2.2305307840487494</v>
      </c>
      <c r="AA174">
        <f t="shared" si="76"/>
        <v>171</v>
      </c>
      <c r="AB174">
        <f t="shared" si="69"/>
        <v>-0.85060844095836829</v>
      </c>
      <c r="AC174">
        <f t="shared" si="73"/>
        <v>0.19354647317351326</v>
      </c>
      <c r="AD174">
        <f t="shared" si="70"/>
        <v>-6.0453428582678104E-2</v>
      </c>
      <c r="AE174">
        <f t="shared" si="71"/>
        <v>-0.19354647317351859</v>
      </c>
      <c r="AF174">
        <f t="shared" si="77"/>
        <v>5.3721234376385292</v>
      </c>
      <c r="AJ174">
        <f t="shared" si="83"/>
        <v>12.059337741316002</v>
      </c>
      <c r="AK174">
        <f t="shared" si="81"/>
        <v>6.4190822029665366E-14</v>
      </c>
      <c r="AL174">
        <f t="shared" si="82"/>
        <v>3.1415926535897287</v>
      </c>
    </row>
    <row r="175" spans="1:38">
      <c r="A175">
        <f t="shared" si="79"/>
        <v>2.3125553550994229</v>
      </c>
      <c r="Z175">
        <f t="shared" si="80"/>
        <v>2.2619467105846471</v>
      </c>
      <c r="AA175">
        <f t="shared" si="76"/>
        <v>172</v>
      </c>
      <c r="AB175">
        <f t="shared" si="69"/>
        <v>-0.82507959289046884</v>
      </c>
      <c r="AC175">
        <f t="shared" si="73"/>
        <v>0.18128800512565668</v>
      </c>
      <c r="AD175">
        <f t="shared" si="70"/>
        <v>-5.4566350114679363E-2</v>
      </c>
      <c r="AE175">
        <f t="shared" si="71"/>
        <v>-0.18128800512566184</v>
      </c>
      <c r="AF175">
        <f t="shared" si="77"/>
        <v>5.4035393641744269</v>
      </c>
      <c r="AJ175">
        <f t="shared" si="83"/>
        <v>12.130275022147272</v>
      </c>
      <c r="AK175">
        <f t="shared" si="81"/>
        <v>-0.23967150531265033</v>
      </c>
      <c r="AL175">
        <f t="shared" si="82"/>
        <v>3.3818415359829781</v>
      </c>
    </row>
    <row r="176" spans="1:38">
      <c r="A176">
        <f t="shared" si="79"/>
        <v>2.3267428112656772</v>
      </c>
      <c r="Z176">
        <f t="shared" si="80"/>
        <v>2.2933626371205449</v>
      </c>
      <c r="AA176">
        <f t="shared" si="76"/>
        <v>173</v>
      </c>
      <c r="AB176">
        <f t="shared" si="69"/>
        <v>-0.79917054304985524</v>
      </c>
      <c r="AC176">
        <f t="shared" si="73"/>
        <v>0.16934406733817564</v>
      </c>
      <c r="AD176">
        <f t="shared" si="70"/>
        <v>-4.9059473419394983E-2</v>
      </c>
      <c r="AE176">
        <f t="shared" si="71"/>
        <v>-0.16934406733818069</v>
      </c>
      <c r="AF176">
        <f t="shared" si="77"/>
        <v>5.4349552907103247</v>
      </c>
      <c r="AJ176">
        <f t="shared" si="83"/>
        <v>12.201212302978542</v>
      </c>
      <c r="AK176">
        <f t="shared" si="81"/>
        <v>-0.47344150274045027</v>
      </c>
      <c r="AL176">
        <f t="shared" si="82"/>
        <v>3.619571207222859</v>
      </c>
    </row>
    <row r="177" spans="1:38">
      <c r="A177">
        <f t="shared" si="79"/>
        <v>2.3409302674319314</v>
      </c>
      <c r="Z177">
        <f t="shared" si="80"/>
        <v>2.3247785636564426</v>
      </c>
      <c r="AA177">
        <f t="shared" si="76"/>
        <v>174</v>
      </c>
      <c r="AB177">
        <f t="shared" si="69"/>
        <v>-0.77289135867738246</v>
      </c>
      <c r="AC177">
        <f t="shared" si="73"/>
        <v>0.15772644703565725</v>
      </c>
      <c r="AD177">
        <f t="shared" si="70"/>
        <v>-4.3922731255970238E-2</v>
      </c>
      <c r="AE177">
        <f t="shared" si="71"/>
        <v>-0.15772644703566213</v>
      </c>
      <c r="AF177">
        <f t="shared" si="77"/>
        <v>5.4663712172462224</v>
      </c>
      <c r="AJ177">
        <f t="shared" si="83"/>
        <v>12.272149583809812</v>
      </c>
      <c r="AK177">
        <f t="shared" si="81"/>
        <v>-0.69555379910850723</v>
      </c>
      <c r="AL177">
        <f t="shared" si="82"/>
        <v>3.851990545973897</v>
      </c>
    </row>
    <row r="178" spans="1:38">
      <c r="A178">
        <f t="shared" si="79"/>
        <v>2.3551177235981857</v>
      </c>
      <c r="Z178">
        <f t="shared" si="80"/>
        <v>2.3561944901923404</v>
      </c>
      <c r="AA178">
        <f t="shared" si="76"/>
        <v>175</v>
      </c>
      <c r="AB178">
        <f t="shared" si="69"/>
        <v>-0.74625247229200165</v>
      </c>
      <c r="AC178">
        <f t="shared" si="73"/>
        <v>0.14644660940672782</v>
      </c>
      <c r="AD178">
        <f t="shared" si="70"/>
        <v>-3.9145691105452851E-2</v>
      </c>
      <c r="AE178">
        <f t="shared" si="71"/>
        <v>-0.1464466094067326</v>
      </c>
      <c r="AF178">
        <f t="shared" si="77"/>
        <v>5.4977871437821202</v>
      </c>
      <c r="AJ178">
        <f t="shared" si="83"/>
        <v>12.343086864641082</v>
      </c>
      <c r="AK178">
        <f t="shared" si="81"/>
        <v>-0.90053925253181044</v>
      </c>
      <c r="AL178">
        <f t="shared" si="82"/>
        <v>4.0757272245434013</v>
      </c>
    </row>
    <row r="179" spans="1:38">
      <c r="A179">
        <f t="shared" si="79"/>
        <v>2.36930517976444</v>
      </c>
      <c r="Z179">
        <f t="shared" si="80"/>
        <v>2.3876104167282381</v>
      </c>
      <c r="AA179">
        <f t="shared" si="76"/>
        <v>176</v>
      </c>
      <c r="AB179">
        <f t="shared" si="69"/>
        <v>-0.71926467139512351</v>
      </c>
      <c r="AC179">
        <f t="shared" si="73"/>
        <v>0.13551568628929583</v>
      </c>
      <c r="AD179">
        <f t="shared" si="70"/>
        <v>-3.4717565466433342E-2</v>
      </c>
      <c r="AE179">
        <f t="shared" si="71"/>
        <v>-0.13551568628930044</v>
      </c>
      <c r="AF179">
        <f t="shared" si="77"/>
        <v>5.5292030703180179</v>
      </c>
      <c r="AJ179">
        <f t="shared" si="83"/>
        <v>12.414024145472352</v>
      </c>
      <c r="AK179">
        <f t="shared" si="81"/>
        <v>-1.0833504408393477</v>
      </c>
      <c r="AL179">
        <f t="shared" si="82"/>
        <v>4.2864501495443275</v>
      </c>
    </row>
    <row r="180" spans="1:38">
      <c r="A180">
        <f t="shared" si="79"/>
        <v>2.3834926359306943</v>
      </c>
      <c r="Z180">
        <f t="shared" si="80"/>
        <v>2.4190263432641359</v>
      </c>
      <c r="AA180">
        <f t="shared" si="76"/>
        <v>177</v>
      </c>
      <c r="AB180">
        <f t="shared" si="69"/>
        <v>-0.6919390878246563</v>
      </c>
      <c r="AC180">
        <f t="shared" si="73"/>
        <v>0.12494446518477187</v>
      </c>
      <c r="AD180">
        <f t="shared" si="70"/>
        <v>-3.0627222501002471E-2</v>
      </c>
      <c r="AE180">
        <f t="shared" si="71"/>
        <v>-0.12494446518477631</v>
      </c>
      <c r="AF180">
        <f t="shared" si="77"/>
        <v>5.5606189968539157</v>
      </c>
      <c r="AJ180">
        <f t="shared" si="83"/>
        <v>12.484961426303622</v>
      </c>
      <c r="AK180">
        <f t="shared" si="81"/>
        <v>-1.2394859458594463</v>
      </c>
      <c r="AL180">
        <f t="shared" si="82"/>
        <v>4.4784229663847377</v>
      </c>
    </row>
    <row r="181" spans="1:38">
      <c r="A181">
        <f t="shared" si="79"/>
        <v>2.3976800920969485</v>
      </c>
      <c r="Z181">
        <f t="shared" si="80"/>
        <v>2.4504422698000337</v>
      </c>
      <c r="AA181">
        <f t="shared" si="76"/>
        <v>178</v>
      </c>
      <c r="AB181">
        <f t="shared" si="69"/>
        <v>-0.6642871867692266</v>
      </c>
      <c r="AC181">
        <f t="shared" si="73"/>
        <v>0.11474337861210698</v>
      </c>
      <c r="AD181">
        <f t="shared" si="70"/>
        <v>-2.6863197020534635E-2</v>
      </c>
      <c r="AE181">
        <f t="shared" si="71"/>
        <v>-0.11474337861211131</v>
      </c>
      <c r="AF181">
        <f t="shared" si="77"/>
        <v>5.5920349233898135</v>
      </c>
      <c r="AJ181">
        <f t="shared" si="83"/>
        <v>12.555898707134892</v>
      </c>
      <c r="AK181">
        <f t="shared" si="81"/>
        <v>-1.3651011932744717</v>
      </c>
      <c r="AL181">
        <f t="shared" si="82"/>
        <v>4.6440865189718377</v>
      </c>
    </row>
    <row r="182" spans="1:38">
      <c r="A182">
        <f t="shared" si="79"/>
        <v>2.4118675482632028</v>
      </c>
      <c r="Z182">
        <f t="shared" si="80"/>
        <v>2.4818581963359314</v>
      </c>
      <c r="AA182">
        <f t="shared" si="76"/>
        <v>179</v>
      </c>
      <c r="AB182">
        <f t="shared" si="69"/>
        <v>-0.63632075545342115</v>
      </c>
      <c r="AC182">
        <f t="shared" si="73"/>
        <v>0.1049224938121564</v>
      </c>
      <c r="AD182">
        <f t="shared" si="70"/>
        <v>-2.3413701800441888E-2</v>
      </c>
      <c r="AE182">
        <f t="shared" si="71"/>
        <v>-0.10492249381216057</v>
      </c>
      <c r="AF182">
        <f t="shared" si="77"/>
        <v>5.6234508499257112</v>
      </c>
      <c r="AJ182">
        <f t="shared" si="83"/>
        <v>12.626835987966162</v>
      </c>
      <c r="AK182">
        <f t="shared" si="81"/>
        <v>-1.4571031187999675</v>
      </c>
      <c r="AL182">
        <f t="shared" si="82"/>
        <v>4.7740027059237509</v>
      </c>
    </row>
    <row r="183" spans="1:38">
      <c r="A183">
        <f t="shared" si="79"/>
        <v>2.4260550044294571</v>
      </c>
      <c r="Z183">
        <f t="shared" si="80"/>
        <v>2.5132741228718292</v>
      </c>
      <c r="AA183">
        <f t="shared" si="76"/>
        <v>180</v>
      </c>
      <c r="AB183">
        <f t="shared" si="69"/>
        <v>-0.60805189150522065</v>
      </c>
      <c r="AC183">
        <f t="shared" si="73"/>
        <v>9.5491502812527884E-2</v>
      </c>
      <c r="AD183">
        <f t="shared" si="70"/>
        <v>-2.0266639212744408E-2</v>
      </c>
      <c r="AE183">
        <f t="shared" si="71"/>
        <v>-9.5491502812531825E-2</v>
      </c>
      <c r="AF183">
        <f t="shared" si="77"/>
        <v>5.654866776461609</v>
      </c>
      <c r="AJ183">
        <f t="shared" si="83"/>
        <v>12.697773268797432</v>
      </c>
      <c r="AK183">
        <f t="shared" si="81"/>
        <v>-1.5132263296926063</v>
      </c>
      <c r="AL183">
        <f t="shared" si="82"/>
        <v>4.8578281355949313</v>
      </c>
    </row>
    <row r="184" spans="1:38">
      <c r="A184">
        <f t="shared" si="79"/>
        <v>2.4402424605957114</v>
      </c>
      <c r="Z184">
        <f t="shared" si="80"/>
        <v>2.5446900494077269</v>
      </c>
      <c r="AA184">
        <f t="shared" si="76"/>
        <v>181</v>
      </c>
      <c r="AB184">
        <f t="shared" si="69"/>
        <v>-0.57949299101710072</v>
      </c>
      <c r="AC184">
        <f t="shared" si="73"/>
        <v>8.6459712862720639E-2</v>
      </c>
      <c r="AD184">
        <f t="shared" si="70"/>
        <v>-1.7409613164966586E-2</v>
      </c>
      <c r="AE184">
        <f t="shared" si="71"/>
        <v>-8.6459712862724469E-2</v>
      </c>
      <c r="AF184">
        <f t="shared" si="77"/>
        <v>5.6862827029975067</v>
      </c>
      <c r="AJ184">
        <f t="shared" si="83"/>
        <v>12.768710549628702</v>
      </c>
      <c r="AK184">
        <f t="shared" si="81"/>
        <v>-1.532088886237956</v>
      </c>
      <c r="AL184">
        <f t="shared" si="82"/>
        <v>4.8869219055841224</v>
      </c>
    </row>
    <row r="185" spans="1:38">
      <c r="A185">
        <f t="shared" si="79"/>
        <v>2.4544299167619656</v>
      </c>
      <c r="Z185">
        <f t="shared" si="80"/>
        <v>2.5761059759436247</v>
      </c>
      <c r="AA185">
        <f t="shared" si="76"/>
        <v>182</v>
      </c>
      <c r="AB185">
        <f t="shared" si="69"/>
        <v>-0.55065673631258494</v>
      </c>
      <c r="AC185">
        <f t="shared" si="73"/>
        <v>7.7836037248994017E-2</v>
      </c>
      <c r="AD185">
        <f t="shared" si="70"/>
        <v>-1.4829941333584618E-2</v>
      </c>
      <c r="AE185">
        <f t="shared" si="71"/>
        <v>-7.7836037248997625E-2</v>
      </c>
      <c r="AF185">
        <f t="shared" si="77"/>
        <v>5.7176986295334045</v>
      </c>
    </row>
    <row r="186" spans="1:38">
      <c r="A186">
        <f t="shared" si="79"/>
        <v>2.4686173729282199</v>
      </c>
      <c r="Z186">
        <f t="shared" si="80"/>
        <v>2.6075219024795224</v>
      </c>
      <c r="AA186">
        <f t="shared" si="76"/>
        <v>183</v>
      </c>
      <c r="AB186">
        <f t="shared" si="69"/>
        <v>-0.52155608343032356</v>
      </c>
      <c r="AC186">
        <f t="shared" si="73"/>
        <v>6.9628986498029677E-2</v>
      </c>
      <c r="AD186">
        <f t="shared" si="70"/>
        <v>-1.2514667679948133E-2</v>
      </c>
      <c r="AE186">
        <f t="shared" si="71"/>
        <v>-6.9628986498033119E-2</v>
      </c>
      <c r="AF186">
        <f t="shared" si="77"/>
        <v>5.7491145560693022</v>
      </c>
    </row>
    <row r="187" spans="1:38">
      <c r="A187">
        <f t="shared" si="79"/>
        <v>2.4828048290944742</v>
      </c>
      <c r="Z187">
        <f t="shared" si="80"/>
        <v>2.6389378290154202</v>
      </c>
      <c r="AA187">
        <f t="shared" si="76"/>
        <v>184</v>
      </c>
      <c r="AB187">
        <f t="shared" si="69"/>
        <v>-0.4922042493380468</v>
      </c>
      <c r="AC187">
        <f t="shared" si="73"/>
        <v>6.1846659978069707E-2</v>
      </c>
      <c r="AD187">
        <f t="shared" si="70"/>
        <v>-1.0450575236327087E-2</v>
      </c>
      <c r="AE187">
        <f t="shared" si="71"/>
        <v>-6.1846659978072926E-2</v>
      </c>
      <c r="AF187">
        <f t="shared" si="77"/>
        <v>5.7805304826052</v>
      </c>
    </row>
    <row r="188" spans="1:38">
      <c r="A188">
        <f t="shared" si="79"/>
        <v>2.4969922852607285</v>
      </c>
      <c r="Z188">
        <f t="shared" si="80"/>
        <v>2.6703537555513179</v>
      </c>
      <c r="AA188">
        <f t="shared" si="76"/>
        <v>185</v>
      </c>
      <c r="AB188">
        <f t="shared" si="69"/>
        <v>-0.4626146988890138</v>
      </c>
      <c r="AC188">
        <f t="shared" si="73"/>
        <v>5.4496737905817494E-2</v>
      </c>
      <c r="AD188">
        <f t="shared" si="70"/>
        <v>-8.6241991494619974E-3</v>
      </c>
      <c r="AE188">
        <f t="shared" si="71"/>
        <v>-5.4496737905820547E-2</v>
      </c>
      <c r="AF188">
        <f t="shared" si="77"/>
        <v>5.8119464091410977</v>
      </c>
    </row>
    <row r="189" spans="1:38">
      <c r="A189">
        <f t="shared" si="79"/>
        <v>2.5111797414269827</v>
      </c>
      <c r="Z189">
        <f t="shared" si="80"/>
        <v>2.7017696820872157</v>
      </c>
      <c r="AA189">
        <f t="shared" si="76"/>
        <v>186</v>
      </c>
      <c r="AB189">
        <f t="shared" si="69"/>
        <v>-0.43280113153382799</v>
      </c>
      <c r="AC189">
        <f t="shared" si="73"/>
        <v>4.7586473766991599E-2</v>
      </c>
      <c r="AD189">
        <f t="shared" si="70"/>
        <v>-7.0218399687500543E-3</v>
      </c>
      <c r="AE189">
        <f t="shared" si="71"/>
        <v>-4.7586473766994486E-2</v>
      </c>
      <c r="AF189">
        <f t="shared" si="77"/>
        <v>5.8433623356769955</v>
      </c>
    </row>
    <row r="190" spans="1:38">
      <c r="A190">
        <f t="shared" si="79"/>
        <v>2.525367197593237</v>
      </c>
      <c r="Z190">
        <f t="shared" si="80"/>
        <v>2.7331856086231134</v>
      </c>
      <c r="AA190">
        <f t="shared" si="76"/>
        <v>187</v>
      </c>
      <c r="AB190">
        <f t="shared" si="69"/>
        <v>-0.4027774678007332</v>
      </c>
      <c r="AC190">
        <f t="shared" si="73"/>
        <v>4.1122687158010762E-2</v>
      </c>
      <c r="AD190">
        <f t="shared" si="70"/>
        <v>-5.6295771659469196E-3</v>
      </c>
      <c r="AE190">
        <f t="shared" si="71"/>
        <v>-4.1122687158013427E-2</v>
      </c>
      <c r="AF190">
        <f t="shared" si="77"/>
        <v>5.8747782622128932</v>
      </c>
    </row>
    <row r="191" spans="1:38">
      <c r="A191">
        <f t="shared" si="79"/>
        <v>2.5395546537594913</v>
      </c>
      <c r="Z191">
        <f t="shared" si="80"/>
        <v>2.7646015351590112</v>
      </c>
      <c r="AA191">
        <f t="shared" si="76"/>
        <v>188</v>
      </c>
      <c r="AB191">
        <f t="shared" si="69"/>
        <v>-0.37255783555773314</v>
      </c>
      <c r="AC191">
        <f t="shared" si="73"/>
        <v>3.5111757055875548E-2</v>
      </c>
      <c r="AD191">
        <f t="shared" si="70"/>
        <v>-4.4332828730491158E-3</v>
      </c>
      <c r="AE191">
        <f t="shared" si="71"/>
        <v>-3.5111757055878046E-2</v>
      </c>
      <c r="AF191">
        <f t="shared" si="77"/>
        <v>5.906194188748791</v>
      </c>
    </row>
    <row r="192" spans="1:38">
      <c r="A192">
        <f t="shared" si="79"/>
        <v>2.5537421099257456</v>
      </c>
      <c r="Z192">
        <f t="shared" si="80"/>
        <v>2.7960174616949089</v>
      </c>
      <c r="AA192">
        <f t="shared" si="76"/>
        <v>189</v>
      </c>
      <c r="AB192">
        <f t="shared" si="69"/>
        <v>-0.3421565560700911</v>
      </c>
      <c r="AC192">
        <f t="shared" si="73"/>
        <v>2.9559615522888438E-2</v>
      </c>
      <c r="AD192">
        <f t="shared" si="70"/>
        <v>-3.4186358247936255E-3</v>
      </c>
      <c r="AE192">
        <f t="shared" si="71"/>
        <v>-2.9559615522890714E-2</v>
      </c>
      <c r="AF192">
        <f t="shared" si="77"/>
        <v>5.9376101152846887</v>
      </c>
    </row>
    <row r="193" spans="1:32">
      <c r="A193">
        <f t="shared" si="79"/>
        <v>2.5679295660919998</v>
      </c>
      <c r="Z193">
        <f t="shared" si="80"/>
        <v>2.8274333882308067</v>
      </c>
      <c r="AA193">
        <f t="shared" si="76"/>
        <v>190</v>
      </c>
      <c r="AB193">
        <f t="shared" si="69"/>
        <v>-0.31158812986697038</v>
      </c>
      <c r="AC193">
        <f t="shared" si="73"/>
        <v>2.4471741852424345E-2</v>
      </c>
      <c r="AD193">
        <f t="shared" si="70"/>
        <v>-2.5711354920163743E-3</v>
      </c>
      <c r="AE193">
        <f t="shared" si="71"/>
        <v>-2.4471741852426399E-2</v>
      </c>
      <c r="AF193">
        <f t="shared" si="77"/>
        <v>5.9690260418205865</v>
      </c>
    </row>
    <row r="194" spans="1:32">
      <c r="A194">
        <f t="shared" si="79"/>
        <v>2.5821170222582541</v>
      </c>
      <c r="Z194">
        <f t="shared" si="80"/>
        <v>2.8588493147667045</v>
      </c>
      <c r="AA194">
        <f t="shared" si="76"/>
        <v>191</v>
      </c>
      <c r="AB194">
        <f t="shared" si="69"/>
        <v>-0.28086722243116247</v>
      </c>
      <c r="AC194">
        <f t="shared" si="73"/>
        <v>1.9853157161529522E-2</v>
      </c>
      <c r="AD194">
        <f t="shared" si="70"/>
        <v>-1.87611639192653E-3</v>
      </c>
      <c r="AE194">
        <f t="shared" si="71"/>
        <v>-1.9853157161531354E-2</v>
      </c>
      <c r="AF194">
        <f t="shared" si="77"/>
        <v>6.0004419683564842</v>
      </c>
    </row>
    <row r="195" spans="1:32">
      <c r="A195">
        <f t="shared" si="79"/>
        <v>2.5963044784245084</v>
      </c>
      <c r="Z195">
        <f t="shared" si="80"/>
        <v>2.8902652413026022</v>
      </c>
      <c r="AA195">
        <f t="shared" si="76"/>
        <v>192</v>
      </c>
      <c r="AB195">
        <f t="shared" ref="AB195:AB203" si="84">-xkathetos/2+Aktina*Z195-Aktina*SIN(Z195)</f>
        <v>-0.25000864972602654</v>
      </c>
      <c r="AC195">
        <f t="shared" si="73"/>
        <v>1.5708419435685406E-2</v>
      </c>
      <c r="AD195">
        <f t="shared" ref="AD195:AD203" si="85">Aktina*(AF195-SIN(AF195))-2*PI()*Aktina</f>
        <v>-1.3187625611643661E-3</v>
      </c>
      <c r="AE195">
        <f t="shared" ref="AE195:AE203" si="86">-Aktina*(1-COS(AF195))</f>
        <v>-1.5708419435687071E-2</v>
      </c>
      <c r="AF195">
        <f t="shared" si="77"/>
        <v>6.031857894892382</v>
      </c>
    </row>
    <row r="196" spans="1:32">
      <c r="A196">
        <f t="shared" si="79"/>
        <v>2.6104919345907627</v>
      </c>
      <c r="Z196">
        <f t="shared" ref="Z196:Z203" si="87">Z195+vimaex</f>
        <v>2.9216811678385</v>
      </c>
      <c r="AA196">
        <f t="shared" si="76"/>
        <v>193</v>
      </c>
      <c r="AB196">
        <f t="shared" si="84"/>
        <v>-0.21902736357392164</v>
      </c>
      <c r="AC196">
        <f t="shared" ref="AC196:AC203" si="88">Aktina*(1+COS(Z196))</f>
        <v>1.2041619030627171E-2</v>
      </c>
      <c r="AD196">
        <f t="shared" si="85"/>
        <v>-8.8412217737143806E-4</v>
      </c>
      <c r="AE196">
        <f t="shared" si="86"/>
        <v>-1.2041619030628614E-2</v>
      </c>
      <c r="AF196">
        <f t="shared" si="77"/>
        <v>6.0632738214282798</v>
      </c>
    </row>
    <row r="197" spans="1:32">
      <c r="A197">
        <f t="shared" si="79"/>
        <v>2.624679390757017</v>
      </c>
      <c r="Z197">
        <f t="shared" si="87"/>
        <v>2.9530970943743977</v>
      </c>
      <c r="AA197">
        <f t="shared" ref="AA197:AA203" si="89">AA196+1</f>
        <v>194</v>
      </c>
      <c r="AB197">
        <f t="shared" si="84"/>
        <v>-0.18793843690056392</v>
      </c>
      <c r="AC197">
        <f t="shared" si="88"/>
        <v>8.8563746356564166E-3</v>
      </c>
      <c r="AD197">
        <f t="shared" si="85"/>
        <v>-5.5712231483173724E-4</v>
      </c>
      <c r="AE197">
        <f t="shared" si="86"/>
        <v>-8.8563746356576378E-3</v>
      </c>
      <c r="AF197">
        <f t="shared" ref="AF197:AF203" si="90">AF196+2*PI()/200</f>
        <v>6.0946897479641775</v>
      </c>
    </row>
    <row r="198" spans="1:32">
      <c r="A198">
        <f t="shared" si="79"/>
        <v>2.6388668469232712</v>
      </c>
      <c r="Z198">
        <f t="shared" si="87"/>
        <v>2.9845130209102955</v>
      </c>
      <c r="AA198">
        <f t="shared" si="89"/>
        <v>195</v>
      </c>
      <c r="AB198">
        <f t="shared" si="84"/>
        <v>-0.15675704885986827</v>
      </c>
      <c r="AC198">
        <f t="shared" si="88"/>
        <v>6.155829702431781E-3</v>
      </c>
      <c r="AD198">
        <f t="shared" si="85"/>
        <v>-3.2258381962924076E-4</v>
      </c>
      <c r="AE198">
        <f t="shared" si="86"/>
        <v>-6.1558297024328357E-3</v>
      </c>
      <c r="AF198">
        <f t="shared" si="90"/>
        <v>6.1261056745000753</v>
      </c>
    </row>
    <row r="199" spans="1:32">
      <c r="A199">
        <f t="shared" si="79"/>
        <v>2.6530543030895255</v>
      </c>
      <c r="Z199">
        <f t="shared" si="87"/>
        <v>3.0159289474461932</v>
      </c>
      <c r="AA199">
        <f t="shared" si="89"/>
        <v>196</v>
      </c>
      <c r="AB199">
        <f t="shared" si="84"/>
        <v>-0.12549846985395618</v>
      </c>
      <c r="AC199">
        <f t="shared" si="88"/>
        <v>3.9426493427616172E-3</v>
      </c>
      <c r="AD199">
        <f t="shared" si="85"/>
        <v>-1.6523628964382198E-4</v>
      </c>
      <c r="AE199">
        <f t="shared" si="86"/>
        <v>-3.9426493427624498E-3</v>
      </c>
      <c r="AF199">
        <f t="shared" si="90"/>
        <v>6.157521601035973</v>
      </c>
    </row>
    <row r="200" spans="1:32">
      <c r="A200">
        <f t="shared" si="79"/>
        <v>2.6672417592557798</v>
      </c>
      <c r="Z200">
        <f t="shared" si="87"/>
        <v>3.047344873982091</v>
      </c>
      <c r="AA200">
        <f t="shared" si="89"/>
        <v>197</v>
      </c>
      <c r="AB200">
        <f t="shared" si="84"/>
        <v>-9.4178046463112453E-2</v>
      </c>
      <c r="AC200">
        <f t="shared" si="88"/>
        <v>2.2190176984603904E-3</v>
      </c>
      <c r="AD200">
        <f t="shared" si="85"/>
        <v>-6.9733144589800844E-5</v>
      </c>
      <c r="AE200">
        <f t="shared" si="86"/>
        <v>-2.2190176984610011E-3</v>
      </c>
      <c r="AF200">
        <f t="shared" si="90"/>
        <v>6.1889375275718708</v>
      </c>
    </row>
    <row r="201" spans="1:32">
      <c r="A201">
        <f t="shared" si="79"/>
        <v>2.6814292154220341</v>
      </c>
      <c r="Z201">
        <f t="shared" si="87"/>
        <v>3.0787608005179887</v>
      </c>
      <c r="AA201">
        <f t="shared" si="89"/>
        <v>198</v>
      </c>
      <c r="AB201">
        <f t="shared" si="84"/>
        <v>-6.2811186300563204E-2</v>
      </c>
      <c r="AC201">
        <f t="shared" si="88"/>
        <v>9.8663578586449807E-4</v>
      </c>
      <c r="AD201">
        <f t="shared" si="85"/>
        <v>-2.0666771241018012E-5</v>
      </c>
      <c r="AE201">
        <f t="shared" si="86"/>
        <v>-9.8663578586488665E-4</v>
      </c>
      <c r="AF201">
        <f t="shared" si="90"/>
        <v>6.2203534541077685</v>
      </c>
    </row>
    <row r="202" spans="1:32">
      <c r="A202">
        <f t="shared" si="79"/>
        <v>2.6956166715882883</v>
      </c>
      <c r="Z202">
        <f t="shared" si="87"/>
        <v>3.1101767270538865</v>
      </c>
      <c r="AA202">
        <f t="shared" si="89"/>
        <v>199</v>
      </c>
      <c r="AB202">
        <f t="shared" si="84"/>
        <v>-3.1413342807021877E-2</v>
      </c>
      <c r="AC202">
        <f t="shared" si="88"/>
        <v>2.4671981713436653E-4</v>
      </c>
      <c r="AD202">
        <f t="shared" si="85"/>
        <v>-2.5837288846197737E-6</v>
      </c>
      <c r="AE202">
        <f t="shared" si="86"/>
        <v>-2.4671981713458857E-4</v>
      </c>
      <c r="AF202">
        <f t="shared" si="90"/>
        <v>6.2517693806436663</v>
      </c>
    </row>
    <row r="203" spans="1:32">
      <c r="A203">
        <f t="shared" si="79"/>
        <v>2.7098041277545426</v>
      </c>
      <c r="Z203">
        <f t="shared" si="87"/>
        <v>3.1415926535897842</v>
      </c>
      <c r="AA203">
        <f t="shared" si="89"/>
        <v>200</v>
      </c>
      <c r="AB203">
        <f t="shared" si="84"/>
        <v>-8.9430416197466833E-15</v>
      </c>
      <c r="AC203">
        <f t="shared" si="88"/>
        <v>0</v>
      </c>
      <c r="AD203">
        <f t="shared" si="85"/>
        <v>0</v>
      </c>
      <c r="AE203">
        <f t="shared" si="86"/>
        <v>0</v>
      </c>
      <c r="AF203">
        <f t="shared" si="90"/>
        <v>6.283185307179564</v>
      </c>
    </row>
    <row r="204" spans="1:32">
      <c r="A204">
        <f t="shared" si="79"/>
        <v>2.7239915839207969</v>
      </c>
    </row>
    <row r="205" spans="1:32">
      <c r="A205">
        <f t="shared" ref="A205:A237" si="91">A204+dt</f>
        <v>2.7381790400870512</v>
      </c>
    </row>
    <row r="206" spans="1:32">
      <c r="A206">
        <f t="shared" si="91"/>
        <v>2.7523664962533054</v>
      </c>
    </row>
    <row r="207" spans="1:32">
      <c r="A207">
        <f t="shared" si="91"/>
        <v>2.7665539524195597</v>
      </c>
    </row>
    <row r="208" spans="1:32">
      <c r="A208">
        <f t="shared" si="91"/>
        <v>2.780741408585814</v>
      </c>
    </row>
    <row r="209" spans="1:1">
      <c r="A209">
        <f t="shared" si="91"/>
        <v>2.7949288647520683</v>
      </c>
    </row>
    <row r="210" spans="1:1">
      <c r="A210">
        <f t="shared" si="91"/>
        <v>2.8091163209183225</v>
      </c>
    </row>
    <row r="211" spans="1:1">
      <c r="A211">
        <f t="shared" si="91"/>
        <v>2.8233037770845768</v>
      </c>
    </row>
    <row r="212" spans="1:1">
      <c r="A212">
        <f t="shared" si="91"/>
        <v>2.8374912332508311</v>
      </c>
    </row>
    <row r="213" spans="1:1">
      <c r="A213">
        <f t="shared" si="91"/>
        <v>2.8516786894170854</v>
      </c>
    </row>
    <row r="214" spans="1:1">
      <c r="A214">
        <f t="shared" si="91"/>
        <v>2.8658661455833396</v>
      </c>
    </row>
    <row r="215" spans="1:1">
      <c r="A215">
        <f t="shared" si="91"/>
        <v>2.8800536017495939</v>
      </c>
    </row>
    <row r="216" spans="1:1">
      <c r="A216">
        <f t="shared" si="91"/>
        <v>2.8942410579158482</v>
      </c>
    </row>
    <row r="217" spans="1:1">
      <c r="A217">
        <f t="shared" si="91"/>
        <v>2.9084285140821025</v>
      </c>
    </row>
    <row r="218" spans="1:1">
      <c r="A218">
        <f t="shared" si="91"/>
        <v>2.9226159702483567</v>
      </c>
    </row>
    <row r="219" spans="1:1">
      <c r="A219">
        <f t="shared" si="91"/>
        <v>2.936803426414611</v>
      </c>
    </row>
    <row r="220" spans="1:1">
      <c r="A220">
        <f t="shared" si="91"/>
        <v>2.9509908825808653</v>
      </c>
    </row>
    <row r="221" spans="1:1">
      <c r="A221">
        <f t="shared" si="91"/>
        <v>2.9651783387471196</v>
      </c>
    </row>
    <row r="222" spans="1:1">
      <c r="A222">
        <f t="shared" si="91"/>
        <v>2.9793657949133738</v>
      </c>
    </row>
    <row r="223" spans="1:1">
      <c r="A223">
        <f t="shared" si="91"/>
        <v>2.9935532510796281</v>
      </c>
    </row>
    <row r="224" spans="1:1">
      <c r="A224">
        <f t="shared" si="91"/>
        <v>3.0077407072458824</v>
      </c>
    </row>
    <row r="225" spans="1:1">
      <c r="A225">
        <f t="shared" si="91"/>
        <v>3.0219281634121367</v>
      </c>
    </row>
    <row r="226" spans="1:1">
      <c r="A226">
        <f t="shared" si="91"/>
        <v>3.0361156195783909</v>
      </c>
    </row>
    <row r="227" spans="1:1">
      <c r="A227">
        <f t="shared" si="91"/>
        <v>3.0503030757446452</v>
      </c>
    </row>
    <row r="228" spans="1:1">
      <c r="A228">
        <f t="shared" si="91"/>
        <v>3.0644905319108995</v>
      </c>
    </row>
    <row r="229" spans="1:1">
      <c r="A229">
        <f t="shared" si="91"/>
        <v>3.0786779880771538</v>
      </c>
    </row>
    <row r="230" spans="1:1">
      <c r="A230">
        <f t="shared" si="91"/>
        <v>3.092865444243408</v>
      </c>
    </row>
    <row r="231" spans="1:1">
      <c r="A231">
        <f t="shared" si="91"/>
        <v>3.1070529004096623</v>
      </c>
    </row>
    <row r="232" spans="1:1">
      <c r="A232">
        <f t="shared" si="91"/>
        <v>3.1212403565759166</v>
      </c>
    </row>
    <row r="233" spans="1:1">
      <c r="A233">
        <f t="shared" si="91"/>
        <v>3.1354278127421709</v>
      </c>
    </row>
    <row r="234" spans="1:1">
      <c r="A234">
        <f t="shared" si="91"/>
        <v>3.1496152689084251</v>
      </c>
    </row>
    <row r="235" spans="1:1">
      <c r="A235">
        <f t="shared" si="91"/>
        <v>3.1638027250746794</v>
      </c>
    </row>
    <row r="236" spans="1:1">
      <c r="A236">
        <f t="shared" si="91"/>
        <v>3.1779901812409337</v>
      </c>
    </row>
    <row r="237" spans="1:1">
      <c r="A237">
        <f t="shared" si="91"/>
        <v>3.192177637407188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15</xdr:col>
                    <xdr:colOff>123825</xdr:colOff>
                    <xdr:row>2</xdr:row>
                    <xdr:rowOff>57150</xdr:rowOff>
                  </from>
                  <to>
                    <xdr:col>18</xdr:col>
                    <xdr:colOff>552450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I11:BF29"/>
  <sheetViews>
    <sheetView zoomScaleNormal="100" workbookViewId="0"/>
  </sheetViews>
  <sheetFormatPr defaultRowHeight="15"/>
  <cols>
    <col min="15" max="15" width="10.7109375" bestFit="1" customWidth="1"/>
    <col min="16" max="16" width="10.7109375" customWidth="1"/>
    <col min="21" max="21" width="10.7109375" bestFit="1" customWidth="1"/>
  </cols>
  <sheetData>
    <row r="11" spans="27:58">
      <c r="AC11">
        <v>1</v>
      </c>
    </row>
    <row r="13" spans="27:58">
      <c r="AC13" t="s">
        <v>21</v>
      </c>
      <c r="AD13" t="s">
        <v>22</v>
      </c>
      <c r="AE13" t="s">
        <v>23</v>
      </c>
      <c r="AF13" t="s">
        <v>21</v>
      </c>
      <c r="AG13" t="s">
        <v>22</v>
      </c>
      <c r="AH13" t="s">
        <v>23</v>
      </c>
      <c r="AI13" t="s">
        <v>21</v>
      </c>
      <c r="AJ13" t="s">
        <v>22</v>
      </c>
      <c r="AK13" t="s">
        <v>23</v>
      </c>
      <c r="AL13" t="s">
        <v>21</v>
      </c>
      <c r="AM13" t="s">
        <v>22</v>
      </c>
      <c r="AN13" t="s">
        <v>23</v>
      </c>
      <c r="AO13" t="s">
        <v>21</v>
      </c>
      <c r="AP13" t="s">
        <v>22</v>
      </c>
      <c r="AQ13" t="s">
        <v>23</v>
      </c>
      <c r="AR13" t="s">
        <v>21</v>
      </c>
      <c r="AS13" t="s">
        <v>22</v>
      </c>
      <c r="AT13" t="s">
        <v>23</v>
      </c>
      <c r="AU13" t="s">
        <v>21</v>
      </c>
      <c r="AV13" t="s">
        <v>22</v>
      </c>
      <c r="AW13" t="s">
        <v>23</v>
      </c>
      <c r="AX13" t="s">
        <v>21</v>
      </c>
      <c r="AY13" t="s">
        <v>22</v>
      </c>
      <c r="AZ13" t="s">
        <v>23</v>
      </c>
      <c r="BA13" t="s">
        <v>21</v>
      </c>
      <c r="BB13" t="s">
        <v>22</v>
      </c>
      <c r="BC13" t="s">
        <v>23</v>
      </c>
    </row>
    <row r="14" spans="27:58">
      <c r="AA14">
        <v>0</v>
      </c>
      <c r="AC14">
        <v>1</v>
      </c>
      <c r="AD14">
        <f>COS(RADIANS(AA14/2))</f>
        <v>1</v>
      </c>
      <c r="AE14">
        <f>SIN(RADIANS(AA14/2))</f>
        <v>0</v>
      </c>
      <c r="AF14">
        <f>0.5*(AC14+AD14)</f>
        <v>1</v>
      </c>
      <c r="AG14">
        <f>SQRT(AC14*AD14)</f>
        <v>1</v>
      </c>
      <c r="AH14">
        <f>0.5*(AC14-AD14)</f>
        <v>0</v>
      </c>
      <c r="AI14">
        <f>0.5*(AF14+AG14)</f>
        <v>1</v>
      </c>
      <c r="AJ14">
        <f>SQRT(AF14*AG14)</f>
        <v>1</v>
      </c>
      <c r="AK14">
        <f>0.5*(AF14-AG14)</f>
        <v>0</v>
      </c>
      <c r="AL14">
        <f>0.5*(AI14+AJ14)</f>
        <v>1</v>
      </c>
      <c r="AM14">
        <f>SQRT(AI14*AJ14)</f>
        <v>1</v>
      </c>
      <c r="AN14">
        <f>0.5*(AI14-AJ14)</f>
        <v>0</v>
      </c>
      <c r="AO14">
        <f>0.5*(AL14+AM14)</f>
        <v>1</v>
      </c>
      <c r="AP14">
        <f>SQRT(AL14*AM14)</f>
        <v>1</v>
      </c>
      <c r="AQ14">
        <f>0.5*(AL14-AM14)</f>
        <v>0</v>
      </c>
      <c r="AR14">
        <f>0.5*(AO14+AP14)</f>
        <v>1</v>
      </c>
      <c r="AS14">
        <f>SQRT(AO14*AP14)</f>
        <v>1</v>
      </c>
      <c r="AT14">
        <f>0.5*(AO14-AP14)</f>
        <v>0</v>
      </c>
      <c r="AU14">
        <f t="shared" ref="AU14:AU23" si="0">0.5*(AR14+AS14)</f>
        <v>1</v>
      </c>
      <c r="AV14">
        <f t="shared" ref="AV14:AV23" si="1">SQRT(AR14*AS14)</f>
        <v>1</v>
      </c>
      <c r="AW14">
        <f t="shared" ref="AW14:AW23" si="2">0.5*(AR14-AS14)</f>
        <v>0</v>
      </c>
      <c r="AX14">
        <f t="shared" ref="AX14:AX23" si="3">0.5*(AU14+AV14)</f>
        <v>1</v>
      </c>
      <c r="AY14">
        <f t="shared" ref="AY14:AY23" si="4">SQRT(AU14*AV14)</f>
        <v>1</v>
      </c>
      <c r="AZ14">
        <f t="shared" ref="AZ14:AZ23" si="5">0.5*(AU14-AV14)</f>
        <v>0</v>
      </c>
      <c r="BA14">
        <f t="shared" ref="BA14:BA23" si="6">0.5*(AX14+AY14)</f>
        <v>1</v>
      </c>
      <c r="BB14">
        <f t="shared" ref="BB14:BB23" si="7">SQRT(AX14*AY14)</f>
        <v>1</v>
      </c>
      <c r="BC14">
        <f t="shared" ref="BC14:BC23" si="8">0.5*(AX14-AY14)</f>
        <v>0</v>
      </c>
      <c r="BD14">
        <f t="shared" ref="BD14:BD23" si="9">4*SQRT(Length/g)*0.5*PI()/BA14</f>
        <v>2.8374912332508284</v>
      </c>
      <c r="BE14">
        <f t="shared" ref="BE14:BE23" si="10">2*PI()*SQRT(Length/g)</f>
        <v>2.8374912332508284</v>
      </c>
      <c r="BF14">
        <f>BD14/BE14</f>
        <v>1</v>
      </c>
    </row>
    <row r="15" spans="27:58">
      <c r="AA15">
        <v>10</v>
      </c>
      <c r="AC15">
        <v>1</v>
      </c>
      <c r="AD15">
        <f t="shared" ref="AD15:AD23" si="11">COS(RADIANS(AA15/2))</f>
        <v>0.99619469809174555</v>
      </c>
      <c r="AE15">
        <f t="shared" ref="AE15:AE23" si="12">SIN(RADIANS(AA15/2))</f>
        <v>8.7155742747658166E-2</v>
      </c>
      <c r="AF15">
        <f t="shared" ref="AF15:AF23" si="13">0.5*(AC15+AD15)</f>
        <v>0.99809734904587277</v>
      </c>
      <c r="AG15">
        <f t="shared" ref="AG15:AG23" si="14">SQRT(AC15*AD15)</f>
        <v>0.99809553555345876</v>
      </c>
      <c r="AH15">
        <f t="shared" ref="AH15:AH23" si="15">0.5*(AC15-AD15)</f>
        <v>1.9026509541272274E-3</v>
      </c>
      <c r="AI15">
        <f t="shared" ref="AI15:AI23" si="16">0.5*(AF15+AG15)</f>
        <v>0.99809644229966576</v>
      </c>
      <c r="AJ15">
        <f t="shared" ref="AJ15:AJ23" si="17">SQRT(AF15*AG15)</f>
        <v>0.99809644229925387</v>
      </c>
      <c r="AK15">
        <f t="shared" ref="AK15:AK23" si="18">0.5*(AF15-AG15)</f>
        <v>9.0674620700781361E-7</v>
      </c>
      <c r="AL15">
        <f t="shared" ref="AL15:AL23" si="19">0.5*(AI15+AJ15)</f>
        <v>0.99809644229945982</v>
      </c>
      <c r="AM15">
        <f t="shared" ref="AM15:AM23" si="20">SQRT(AI15*AJ15)</f>
        <v>0.99809644229945982</v>
      </c>
      <c r="AN15">
        <f t="shared" ref="AN15:AN23" si="21">0.5*(AI15-AJ15)</f>
        <v>2.0594637106796654E-13</v>
      </c>
      <c r="AO15">
        <f t="shared" ref="AO15:AO23" si="22">0.5*(AL15+AM15)</f>
        <v>0.99809644229945982</v>
      </c>
      <c r="AP15">
        <f t="shared" ref="AP15:AP23" si="23">SQRT(AL15*AM15)</f>
        <v>0.99809644229945982</v>
      </c>
      <c r="AQ15">
        <f t="shared" ref="AQ15:AQ23" si="24">0.5*(AL15-AM15)</f>
        <v>0</v>
      </c>
      <c r="AR15">
        <f t="shared" ref="AR15:AR23" si="25">0.5*(AO15+AP15)</f>
        <v>0.99809644229945982</v>
      </c>
      <c r="AS15">
        <f t="shared" ref="AS15:AS23" si="26">SQRT(AO15*AP15)</f>
        <v>0.99809644229945982</v>
      </c>
      <c r="AT15">
        <f t="shared" ref="AT15:AT23" si="27">0.5*(AO15-AP15)</f>
        <v>0</v>
      </c>
      <c r="AU15">
        <f t="shared" si="0"/>
        <v>0.99809644229945982</v>
      </c>
      <c r="AV15">
        <f t="shared" si="1"/>
        <v>0.99809644229945982</v>
      </c>
      <c r="AW15">
        <f t="shared" si="2"/>
        <v>0</v>
      </c>
      <c r="AX15">
        <f t="shared" si="3"/>
        <v>0.99809644229945982</v>
      </c>
      <c r="AY15">
        <f t="shared" si="4"/>
        <v>0.99809644229945982</v>
      </c>
      <c r="AZ15">
        <f t="shared" si="5"/>
        <v>0</v>
      </c>
      <c r="BA15">
        <f t="shared" si="6"/>
        <v>0.99809644229945982</v>
      </c>
      <c r="BB15">
        <f t="shared" si="7"/>
        <v>0.99809644229945982</v>
      </c>
      <c r="BC15">
        <f t="shared" si="8"/>
        <v>0</v>
      </c>
      <c r="BD15">
        <f t="shared" si="9"/>
        <v>2.8429028628873656</v>
      </c>
      <c r="BE15">
        <f t="shared" si="10"/>
        <v>2.8374912332508284</v>
      </c>
      <c r="BF15">
        <f t="shared" ref="BF15:BF23" si="28">BD15/BE15</f>
        <v>1.0019071881432167</v>
      </c>
    </row>
    <row r="16" spans="27:58">
      <c r="AA16">
        <v>20</v>
      </c>
      <c r="AC16">
        <v>1</v>
      </c>
      <c r="AD16">
        <f t="shared" si="11"/>
        <v>0.98480775301220802</v>
      </c>
      <c r="AE16">
        <f t="shared" si="12"/>
        <v>0.17364817766693033</v>
      </c>
      <c r="AF16">
        <f t="shared" si="13"/>
        <v>0.99240387650610407</v>
      </c>
      <c r="AG16">
        <f t="shared" si="14"/>
        <v>0.99237480470445638</v>
      </c>
      <c r="AH16">
        <f t="shared" si="15"/>
        <v>7.5961234938959898E-3</v>
      </c>
      <c r="AI16">
        <f t="shared" si="16"/>
        <v>0.99238934060528017</v>
      </c>
      <c r="AJ16">
        <f t="shared" si="17"/>
        <v>0.99238934049882377</v>
      </c>
      <c r="AK16">
        <f t="shared" si="18"/>
        <v>1.4535900823842152E-5</v>
      </c>
      <c r="AL16">
        <f t="shared" si="19"/>
        <v>0.99238934055205197</v>
      </c>
      <c r="AM16">
        <f t="shared" si="20"/>
        <v>0.99238934055205197</v>
      </c>
      <c r="AN16">
        <f t="shared" si="21"/>
        <v>5.3228199625721118E-11</v>
      </c>
      <c r="AO16">
        <f t="shared" si="22"/>
        <v>0.99238934055205197</v>
      </c>
      <c r="AP16">
        <f t="shared" si="23"/>
        <v>0.99238934055205197</v>
      </c>
      <c r="AQ16">
        <f t="shared" si="24"/>
        <v>0</v>
      </c>
      <c r="AR16">
        <f t="shared" si="25"/>
        <v>0.99238934055205197</v>
      </c>
      <c r="AS16">
        <f t="shared" si="26"/>
        <v>0.99238934055205197</v>
      </c>
      <c r="AT16">
        <f t="shared" si="27"/>
        <v>0</v>
      </c>
      <c r="AU16">
        <f t="shared" si="0"/>
        <v>0.99238934055205197</v>
      </c>
      <c r="AV16">
        <f t="shared" si="1"/>
        <v>0.99238934055205197</v>
      </c>
      <c r="AW16">
        <f t="shared" si="2"/>
        <v>0</v>
      </c>
      <c r="AX16">
        <f t="shared" si="3"/>
        <v>0.99238934055205197</v>
      </c>
      <c r="AY16">
        <f t="shared" si="4"/>
        <v>0.99238934055205197</v>
      </c>
      <c r="AZ16">
        <f t="shared" si="5"/>
        <v>0</v>
      </c>
      <c r="BA16">
        <f t="shared" si="6"/>
        <v>0.99238934055205197</v>
      </c>
      <c r="BB16">
        <f t="shared" si="7"/>
        <v>0.99238934055205197</v>
      </c>
      <c r="BC16">
        <f t="shared" si="8"/>
        <v>0</v>
      </c>
      <c r="BD16">
        <f t="shared" si="9"/>
        <v>2.8592520267019119</v>
      </c>
      <c r="BE16">
        <f t="shared" si="10"/>
        <v>2.8374912332508284</v>
      </c>
      <c r="BF16">
        <f t="shared" si="28"/>
        <v>1.007669025791545</v>
      </c>
    </row>
    <row r="17" spans="9:58">
      <c r="O17">
        <f>arxikiGon</f>
        <v>0.69813170079773179</v>
      </c>
      <c r="Q17">
        <f>DEGREES(O17)</f>
        <v>40</v>
      </c>
      <c r="U17" t="s">
        <v>18</v>
      </c>
      <c r="V17" t="s">
        <v>19</v>
      </c>
      <c r="W17" t="s">
        <v>20</v>
      </c>
      <c r="AA17">
        <v>30</v>
      </c>
      <c r="AC17">
        <v>1</v>
      </c>
      <c r="AD17">
        <f t="shared" si="11"/>
        <v>0.96592582628906831</v>
      </c>
      <c r="AE17">
        <f t="shared" si="12"/>
        <v>0.25881904510252074</v>
      </c>
      <c r="AF17">
        <f t="shared" si="13"/>
        <v>0.9829629131445341</v>
      </c>
      <c r="AG17">
        <f t="shared" si="14"/>
        <v>0.98281525542141857</v>
      </c>
      <c r="AH17">
        <f t="shared" si="15"/>
        <v>1.7037086855465844E-2</v>
      </c>
      <c r="AI17">
        <f t="shared" si="16"/>
        <v>0.98288908428297628</v>
      </c>
      <c r="AJ17">
        <f t="shared" si="17"/>
        <v>0.98288908151018084</v>
      </c>
      <c r="AK17">
        <f t="shared" si="18"/>
        <v>7.3828861557767578E-5</v>
      </c>
      <c r="AL17">
        <f t="shared" si="19"/>
        <v>0.98288908289657861</v>
      </c>
      <c r="AM17">
        <f t="shared" si="20"/>
        <v>0.98288908289657861</v>
      </c>
      <c r="AN17">
        <f t="shared" si="21"/>
        <v>1.3863977188499632E-9</v>
      </c>
      <c r="AO17">
        <f t="shared" si="22"/>
        <v>0.98288908289657861</v>
      </c>
      <c r="AP17">
        <f t="shared" si="23"/>
        <v>0.98288908289657861</v>
      </c>
      <c r="AQ17">
        <f t="shared" si="24"/>
        <v>0</v>
      </c>
      <c r="AR17">
        <f t="shared" si="25"/>
        <v>0.98288908289657861</v>
      </c>
      <c r="AS17">
        <f t="shared" si="26"/>
        <v>0.98288908289657861</v>
      </c>
      <c r="AT17">
        <f t="shared" si="27"/>
        <v>0</v>
      </c>
      <c r="AU17">
        <f t="shared" si="0"/>
        <v>0.98288908289657861</v>
      </c>
      <c r="AV17">
        <f t="shared" si="1"/>
        <v>0.98288908289657861</v>
      </c>
      <c r="AW17">
        <f t="shared" si="2"/>
        <v>0</v>
      </c>
      <c r="AX17">
        <f t="shared" si="3"/>
        <v>0.98288908289657861</v>
      </c>
      <c r="AY17">
        <f t="shared" si="4"/>
        <v>0.98288908289657861</v>
      </c>
      <c r="AZ17">
        <f t="shared" si="5"/>
        <v>0</v>
      </c>
      <c r="BA17">
        <f t="shared" si="6"/>
        <v>0.98288908289657861</v>
      </c>
      <c r="BB17">
        <f t="shared" si="7"/>
        <v>0.98288908289657861</v>
      </c>
      <c r="BC17">
        <f t="shared" si="8"/>
        <v>0</v>
      </c>
      <c r="BD17">
        <f t="shared" si="9"/>
        <v>2.8868885438107919</v>
      </c>
      <c r="BE17">
        <f t="shared" si="10"/>
        <v>2.8374912332508284</v>
      </c>
      <c r="BF17">
        <f t="shared" si="28"/>
        <v>1.017408797595956</v>
      </c>
    </row>
    <row r="18" spans="9:58">
      <c r="O18">
        <v>75</v>
      </c>
      <c r="U18">
        <f>COUNTIF(U20:U28,V17)</f>
        <v>2</v>
      </c>
      <c r="W18">
        <f>0.5*PI()/U19</f>
        <v>1.620025899124204</v>
      </c>
      <c r="AA18">
        <v>40</v>
      </c>
      <c r="AC18">
        <v>1</v>
      </c>
      <c r="AD18">
        <f t="shared" si="11"/>
        <v>0.93969262078590843</v>
      </c>
      <c r="AE18">
        <f t="shared" si="12"/>
        <v>0.34202014332566871</v>
      </c>
      <c r="AF18">
        <f t="shared" si="13"/>
        <v>0.96984631039295421</v>
      </c>
      <c r="AG18">
        <f t="shared" si="14"/>
        <v>0.96937743979623769</v>
      </c>
      <c r="AH18">
        <f t="shared" si="15"/>
        <v>3.0153689607045786E-2</v>
      </c>
      <c r="AI18">
        <f t="shared" si="16"/>
        <v>0.9696118750945959</v>
      </c>
      <c r="AJ18">
        <f t="shared" si="17"/>
        <v>0.96961184675340539</v>
      </c>
      <c r="AK18">
        <f t="shared" si="18"/>
        <v>2.3443529835825982E-4</v>
      </c>
      <c r="AL18">
        <f t="shared" si="19"/>
        <v>0.96961186092400065</v>
      </c>
      <c r="AM18">
        <f t="shared" si="20"/>
        <v>0.96961186092400053</v>
      </c>
      <c r="AN18">
        <f t="shared" si="21"/>
        <v>1.4170595252771534E-8</v>
      </c>
      <c r="AO18">
        <f t="shared" si="22"/>
        <v>0.96961186092400053</v>
      </c>
      <c r="AP18">
        <f t="shared" si="23"/>
        <v>0.96961186092400053</v>
      </c>
      <c r="AQ18">
        <f t="shared" si="24"/>
        <v>5.5511151231257827E-17</v>
      </c>
      <c r="AR18">
        <f t="shared" si="25"/>
        <v>0.96961186092400053</v>
      </c>
      <c r="AS18">
        <f t="shared" si="26"/>
        <v>0.96961186092400053</v>
      </c>
      <c r="AT18">
        <f t="shared" si="27"/>
        <v>0</v>
      </c>
      <c r="AU18">
        <f t="shared" si="0"/>
        <v>0.96961186092400053</v>
      </c>
      <c r="AV18">
        <f t="shared" si="1"/>
        <v>0.96961186092400053</v>
      </c>
      <c r="AW18">
        <f t="shared" si="2"/>
        <v>0</v>
      </c>
      <c r="AX18">
        <f t="shared" si="3"/>
        <v>0.96961186092400053</v>
      </c>
      <c r="AY18">
        <f t="shared" si="4"/>
        <v>0.96961186092400053</v>
      </c>
      <c r="AZ18">
        <f t="shared" si="5"/>
        <v>0</v>
      </c>
      <c r="BA18">
        <f t="shared" si="6"/>
        <v>0.96961186092400053</v>
      </c>
      <c r="BB18">
        <f t="shared" si="7"/>
        <v>0.96961186092400053</v>
      </c>
      <c r="BC18">
        <f t="shared" si="8"/>
        <v>0</v>
      </c>
      <c r="BD18">
        <f t="shared" si="9"/>
        <v>2.9264196815278383</v>
      </c>
      <c r="BE18">
        <f t="shared" si="10"/>
        <v>2.8374912332508284</v>
      </c>
      <c r="BF18">
        <f t="shared" si="28"/>
        <v>1.0313405191300371</v>
      </c>
    </row>
    <row r="19" spans="9:58" ht="18.75">
      <c r="I19" t="s">
        <v>201</v>
      </c>
      <c r="J19" t="s">
        <v>199</v>
      </c>
      <c r="M19" s="29" t="s">
        <v>200</v>
      </c>
      <c r="N19" s="29"/>
      <c r="O19" t="s">
        <v>112</v>
      </c>
      <c r="P19" t="s">
        <v>202</v>
      </c>
      <c r="R19" t="s">
        <v>15</v>
      </c>
      <c r="S19" t="s">
        <v>16</v>
      </c>
      <c r="T19" t="s">
        <v>17</v>
      </c>
      <c r="U19">
        <f>SUM(U20:U28)/U18</f>
        <v>0.96961186092400053</v>
      </c>
      <c r="AA19">
        <v>50</v>
      </c>
      <c r="AC19">
        <v>1</v>
      </c>
      <c r="AD19">
        <f t="shared" si="11"/>
        <v>0.90630778703664994</v>
      </c>
      <c r="AE19">
        <f t="shared" si="12"/>
        <v>0.42261826174069944</v>
      </c>
      <c r="AF19">
        <f t="shared" si="13"/>
        <v>0.95315389351832502</v>
      </c>
      <c r="AG19">
        <f t="shared" si="14"/>
        <v>0.95200198898775934</v>
      </c>
      <c r="AH19">
        <f t="shared" si="15"/>
        <v>4.6846106481675032E-2</v>
      </c>
      <c r="AI19">
        <f t="shared" si="16"/>
        <v>0.95257794125304218</v>
      </c>
      <c r="AJ19">
        <f t="shared" si="17"/>
        <v>0.95257776713550923</v>
      </c>
      <c r="AK19">
        <f t="shared" si="18"/>
        <v>5.7595226528284194E-4</v>
      </c>
      <c r="AL19">
        <f t="shared" si="19"/>
        <v>0.95257785419427576</v>
      </c>
      <c r="AM19">
        <f t="shared" si="20"/>
        <v>0.95257785419427177</v>
      </c>
      <c r="AN19">
        <f t="shared" si="21"/>
        <v>8.7058766473635529E-8</v>
      </c>
      <c r="AO19">
        <f t="shared" si="22"/>
        <v>0.95257785419427377</v>
      </c>
      <c r="AP19">
        <f t="shared" si="23"/>
        <v>0.95257785419427377</v>
      </c>
      <c r="AQ19">
        <f t="shared" si="24"/>
        <v>1.9984014443252818E-15</v>
      </c>
      <c r="AR19">
        <f t="shared" si="25"/>
        <v>0.95257785419427377</v>
      </c>
      <c r="AS19">
        <f t="shared" si="26"/>
        <v>0.95257785419427377</v>
      </c>
      <c r="AT19">
        <f t="shared" si="27"/>
        <v>0</v>
      </c>
      <c r="AU19">
        <f t="shared" si="0"/>
        <v>0.95257785419427377</v>
      </c>
      <c r="AV19">
        <f t="shared" si="1"/>
        <v>0.95257785419427377</v>
      </c>
      <c r="AW19">
        <f t="shared" si="2"/>
        <v>0</v>
      </c>
      <c r="AX19">
        <f t="shared" si="3"/>
        <v>0.95257785419427377</v>
      </c>
      <c r="AY19">
        <f t="shared" si="4"/>
        <v>0.95257785419427377</v>
      </c>
      <c r="AZ19">
        <f t="shared" si="5"/>
        <v>0</v>
      </c>
      <c r="BA19">
        <f t="shared" si="6"/>
        <v>0.95257785419427377</v>
      </c>
      <c r="BB19">
        <f t="shared" si="7"/>
        <v>0.95257785419427377</v>
      </c>
      <c r="BC19">
        <f t="shared" si="8"/>
        <v>0</v>
      </c>
      <c r="BD19">
        <f t="shared" si="9"/>
        <v>2.9787499475839541</v>
      </c>
      <c r="BE19">
        <f t="shared" si="10"/>
        <v>2.8374912332508284</v>
      </c>
      <c r="BF19">
        <f t="shared" si="28"/>
        <v>1.0497829606230324</v>
      </c>
    </row>
    <row r="20" spans="9:58">
      <c r="I20">
        <f t="shared" ref="I20:I28" si="29">PI()/(2*R20)</f>
        <v>1.5707963267948966</v>
      </c>
      <c r="J20">
        <f>S20*SIN(O20)</f>
        <v>0.90767337119036873</v>
      </c>
      <c r="K20">
        <f>1/2*(2^(L20-1)*T20^2)</f>
        <v>2.9244444610127741E-2</v>
      </c>
      <c r="L20">
        <v>0</v>
      </c>
      <c r="M20">
        <f>O20/(R20)</f>
        <v>1.3089969389957472</v>
      </c>
      <c r="O20">
        <f>RADIANS(O18)</f>
        <v>1.3089969389957472</v>
      </c>
      <c r="Q20">
        <f>RADIANS(O18)</f>
        <v>1.3089969389957472</v>
      </c>
      <c r="R20">
        <v>1</v>
      </c>
      <c r="S20">
        <f>SQRT(1-SIN(arxikiGon/2)^2)</f>
        <v>0.93969262078590843</v>
      </c>
      <c r="T20">
        <f>SIN(arxikiGon/2)</f>
        <v>0.34202014332566871</v>
      </c>
      <c r="U20">
        <f>IF(R20&lt;&gt;S20,0,IF(R20-R21&lt;&gt;0,R20,0))</f>
        <v>0</v>
      </c>
      <c r="AA20">
        <v>60</v>
      </c>
      <c r="AC20">
        <v>1</v>
      </c>
      <c r="AD20">
        <f t="shared" si="11"/>
        <v>0.86602540378443871</v>
      </c>
      <c r="AE20">
        <f t="shared" si="12"/>
        <v>0.49999999999999994</v>
      </c>
      <c r="AF20">
        <f t="shared" si="13"/>
        <v>0.93301270189221941</v>
      </c>
      <c r="AG20">
        <f t="shared" si="14"/>
        <v>0.93060485910209967</v>
      </c>
      <c r="AH20">
        <f t="shared" si="15"/>
        <v>6.6987298107780646E-2</v>
      </c>
      <c r="AI20">
        <f t="shared" si="16"/>
        <v>0.93180878049715954</v>
      </c>
      <c r="AJ20">
        <f t="shared" si="17"/>
        <v>0.93180800274781828</v>
      </c>
      <c r="AK20">
        <f t="shared" si="18"/>
        <v>1.2039213950598704E-3</v>
      </c>
      <c r="AL20">
        <f t="shared" si="19"/>
        <v>0.93180839162248885</v>
      </c>
      <c r="AM20">
        <f t="shared" si="20"/>
        <v>0.93180839162240769</v>
      </c>
      <c r="AN20">
        <f t="shared" si="21"/>
        <v>3.888746706315338E-7</v>
      </c>
      <c r="AO20">
        <f t="shared" si="22"/>
        <v>0.93180839162244822</v>
      </c>
      <c r="AP20">
        <f t="shared" si="23"/>
        <v>0.93180839162244822</v>
      </c>
      <c r="AQ20">
        <f t="shared" si="24"/>
        <v>4.0578651550049472E-14</v>
      </c>
      <c r="AR20">
        <f t="shared" si="25"/>
        <v>0.93180839162244822</v>
      </c>
      <c r="AS20">
        <f t="shared" si="26"/>
        <v>0.93180839162244822</v>
      </c>
      <c r="AT20">
        <f t="shared" si="27"/>
        <v>0</v>
      </c>
      <c r="AU20">
        <f t="shared" si="0"/>
        <v>0.93180839162244822</v>
      </c>
      <c r="AV20">
        <f t="shared" si="1"/>
        <v>0.93180839162244822</v>
      </c>
      <c r="AW20">
        <f t="shared" si="2"/>
        <v>0</v>
      </c>
      <c r="AX20">
        <f t="shared" si="3"/>
        <v>0.93180839162244822</v>
      </c>
      <c r="AY20">
        <f t="shared" si="4"/>
        <v>0.93180839162244822</v>
      </c>
      <c r="AZ20">
        <f t="shared" si="5"/>
        <v>0</v>
      </c>
      <c r="BA20">
        <f t="shared" si="6"/>
        <v>0.93180839162244822</v>
      </c>
      <c r="BB20">
        <f t="shared" si="7"/>
        <v>0.93180839162244822</v>
      </c>
      <c r="BC20">
        <f t="shared" si="8"/>
        <v>0</v>
      </c>
      <c r="BD20">
        <f t="shared" si="9"/>
        <v>3.0451445369688495</v>
      </c>
      <c r="BE20">
        <f t="shared" si="10"/>
        <v>2.8374912332508284</v>
      </c>
      <c r="BF20">
        <f t="shared" si="28"/>
        <v>1.0731820071493645</v>
      </c>
    </row>
    <row r="21" spans="9:58">
      <c r="I21">
        <f t="shared" si="29"/>
        <v>1.6196342760312761</v>
      </c>
      <c r="J21">
        <f>J20+T21*SIN(O21)</f>
        <v>0.92316542796648005</v>
      </c>
      <c r="K21">
        <f t="shared" ref="K21:K28" si="30">K20+1/2*3^(M21-1)*T21^2</f>
        <v>2.9906003642635102E-2</v>
      </c>
      <c r="L21">
        <v>1</v>
      </c>
      <c r="M21">
        <f t="shared" ref="M21:M28" si="31">O21/(R21*2^L21)</f>
        <v>1.3414596968847368</v>
      </c>
      <c r="O21">
        <f t="shared" ref="O21" si="32">Q21</f>
        <v>2.6020194751290253</v>
      </c>
      <c r="P21">
        <f>ATAN(S21/R21*TAN(O20))</f>
        <v>1.3088760223682283</v>
      </c>
      <c r="Q21">
        <f>Q20+ATAN(S20/R20*ABS(TAN(Q20)))</f>
        <v>2.6020194751290253</v>
      </c>
      <c r="R21">
        <f>1/2*(R20+S20)</f>
        <v>0.96984631039295421</v>
      </c>
      <c r="S21">
        <f>SQRT(R20*S20)</f>
        <v>0.96937743979623769</v>
      </c>
      <c r="T21">
        <f>1/2*(R20-S20)</f>
        <v>3.0153689607045786E-2</v>
      </c>
      <c r="U21">
        <f t="shared" ref="U21:U28" si="33">IF(R21&lt;&gt;S21,0,IF(R21-R22&lt;&gt;0,R21,0))</f>
        <v>0</v>
      </c>
      <c r="AA21">
        <v>70</v>
      </c>
      <c r="AC21">
        <v>1</v>
      </c>
      <c r="AD21">
        <f t="shared" si="11"/>
        <v>0.8191520442889918</v>
      </c>
      <c r="AE21">
        <f t="shared" si="12"/>
        <v>0.57357643635104605</v>
      </c>
      <c r="AF21">
        <f t="shared" si="13"/>
        <v>0.90957602214449595</v>
      </c>
      <c r="AG21">
        <f t="shared" si="14"/>
        <v>0.90507018749320867</v>
      </c>
      <c r="AH21">
        <f t="shared" si="15"/>
        <v>9.0423977855504101E-2</v>
      </c>
      <c r="AI21">
        <f t="shared" si="16"/>
        <v>0.90732310481885237</v>
      </c>
      <c r="AJ21">
        <f t="shared" si="17"/>
        <v>0.90732030777539963</v>
      </c>
      <c r="AK21">
        <f t="shared" si="18"/>
        <v>2.2529173256436441E-3</v>
      </c>
      <c r="AL21">
        <f t="shared" si="19"/>
        <v>0.90732170629712594</v>
      </c>
      <c r="AM21">
        <f t="shared" si="20"/>
        <v>0.90732170629604814</v>
      </c>
      <c r="AN21">
        <f t="shared" si="21"/>
        <v>1.3985217263701166E-6</v>
      </c>
      <c r="AO21">
        <f t="shared" si="22"/>
        <v>0.90732170629658704</v>
      </c>
      <c r="AP21">
        <f t="shared" si="23"/>
        <v>0.90732170629658704</v>
      </c>
      <c r="AQ21">
        <f t="shared" si="24"/>
        <v>5.3890225615305098E-13</v>
      </c>
      <c r="AR21">
        <f t="shared" si="25"/>
        <v>0.90732170629658704</v>
      </c>
      <c r="AS21">
        <f t="shared" si="26"/>
        <v>0.90732170629658704</v>
      </c>
      <c r="AT21">
        <f t="shared" si="27"/>
        <v>0</v>
      </c>
      <c r="AU21">
        <f t="shared" si="0"/>
        <v>0.90732170629658704</v>
      </c>
      <c r="AV21">
        <f t="shared" si="1"/>
        <v>0.90732170629658704</v>
      </c>
      <c r="AW21">
        <f t="shared" si="2"/>
        <v>0</v>
      </c>
      <c r="AX21">
        <f t="shared" si="3"/>
        <v>0.90732170629658704</v>
      </c>
      <c r="AY21">
        <f t="shared" si="4"/>
        <v>0.90732170629658704</v>
      </c>
      <c r="AZ21">
        <f t="shared" si="5"/>
        <v>0</v>
      </c>
      <c r="BA21">
        <f t="shared" si="6"/>
        <v>0.90732170629658704</v>
      </c>
      <c r="BB21">
        <f t="shared" si="7"/>
        <v>0.90732170629658704</v>
      </c>
      <c r="BC21">
        <f t="shared" si="8"/>
        <v>0</v>
      </c>
      <c r="BD21">
        <f t="shared" si="9"/>
        <v>3.1273265188734545</v>
      </c>
      <c r="BE21">
        <f t="shared" si="10"/>
        <v>2.8374912332508284</v>
      </c>
      <c r="BF21">
        <f t="shared" si="28"/>
        <v>1.1021449096392697</v>
      </c>
    </row>
    <row r="22" spans="9:58">
      <c r="I22">
        <f t="shared" si="29"/>
        <v>1.6200258754479968</v>
      </c>
      <c r="J22">
        <f t="shared" ref="J22:J29" si="34">J21+T22*SIN(O22)</f>
        <v>0.92295876032578283</v>
      </c>
      <c r="K22">
        <f t="shared" si="30"/>
        <v>2.9906043645255509E-2</v>
      </c>
      <c r="L22">
        <f t="shared" ref="L22:L29" si="35">L21+1</f>
        <v>2</v>
      </c>
      <c r="M22">
        <f t="shared" si="31"/>
        <v>1.3417840418450975</v>
      </c>
      <c r="O22">
        <f>IF(P22&lt;0,O21+P22+(INT(O21/PI())+1)*PI(),O21+INT(O21/PI())*PI()+P22)</f>
        <v>5.2040389631417225</v>
      </c>
      <c r="P22">
        <f t="shared" ref="P22:P28" si="36">ATAN(S22/R22*TAN(O21))</f>
        <v>-0.53957316557709611</v>
      </c>
      <c r="Q22">
        <f>Q21+ATAN(S21/R21*(TAN(Q21)))</f>
        <v>2.0626594170494572</v>
      </c>
      <c r="R22">
        <f t="shared" ref="R22:R28" si="37">1/2*(R21+S21)</f>
        <v>0.9696118750945959</v>
      </c>
      <c r="S22">
        <f t="shared" ref="S22:S28" si="38">SQRT(R21*S21)</f>
        <v>0.96961184675340539</v>
      </c>
      <c r="T22">
        <f t="shared" ref="T22:T28" si="39">1/2*(R21-S21)</f>
        <v>2.3443529835825982E-4</v>
      </c>
      <c r="U22">
        <f t="shared" si="33"/>
        <v>0</v>
      </c>
      <c r="AA22">
        <v>80</v>
      </c>
      <c r="AC22">
        <v>1</v>
      </c>
      <c r="AD22">
        <f t="shared" si="11"/>
        <v>0.76604444311897801</v>
      </c>
      <c r="AE22">
        <f t="shared" si="12"/>
        <v>0.64278760968653925</v>
      </c>
      <c r="AF22">
        <f t="shared" si="13"/>
        <v>0.88302222155948895</v>
      </c>
      <c r="AG22">
        <f t="shared" si="14"/>
        <v>0.87523964896420114</v>
      </c>
      <c r="AH22">
        <f t="shared" si="15"/>
        <v>0.11697777844051099</v>
      </c>
      <c r="AI22">
        <f t="shared" si="16"/>
        <v>0.87913093526184505</v>
      </c>
      <c r="AJ22">
        <f t="shared" si="17"/>
        <v>0.87912232324365203</v>
      </c>
      <c r="AK22">
        <f t="shared" si="18"/>
        <v>3.8912862976439033E-3</v>
      </c>
      <c r="AL22">
        <f t="shared" si="19"/>
        <v>0.87912662925274854</v>
      </c>
      <c r="AM22">
        <f t="shared" si="20"/>
        <v>0.87912662924220297</v>
      </c>
      <c r="AN22">
        <f t="shared" si="21"/>
        <v>4.3060090965107989E-6</v>
      </c>
      <c r="AO22">
        <f t="shared" si="22"/>
        <v>0.87912662924747575</v>
      </c>
      <c r="AP22">
        <f t="shared" si="23"/>
        <v>0.87912662924747575</v>
      </c>
      <c r="AQ22">
        <f t="shared" si="24"/>
        <v>5.272782210852256E-12</v>
      </c>
      <c r="AR22">
        <f t="shared" si="25"/>
        <v>0.87912662924747575</v>
      </c>
      <c r="AS22">
        <f t="shared" si="26"/>
        <v>0.87912662924747575</v>
      </c>
      <c r="AT22">
        <f t="shared" si="27"/>
        <v>0</v>
      </c>
      <c r="AU22">
        <f t="shared" si="0"/>
        <v>0.87912662924747575</v>
      </c>
      <c r="AV22">
        <f t="shared" si="1"/>
        <v>0.87912662924747575</v>
      </c>
      <c r="AW22">
        <f t="shared" si="2"/>
        <v>0</v>
      </c>
      <c r="AX22">
        <f t="shared" si="3"/>
        <v>0.87912662924747575</v>
      </c>
      <c r="AY22">
        <f t="shared" si="4"/>
        <v>0.87912662924747575</v>
      </c>
      <c r="AZ22">
        <f t="shared" si="5"/>
        <v>0</v>
      </c>
      <c r="BA22">
        <f t="shared" si="6"/>
        <v>0.87912662924747575</v>
      </c>
      <c r="BB22">
        <f t="shared" si="7"/>
        <v>0.87912662924747575</v>
      </c>
      <c r="BC22">
        <f t="shared" si="8"/>
        <v>0</v>
      </c>
      <c r="BD22">
        <f t="shared" si="9"/>
        <v>3.2276251666721718</v>
      </c>
      <c r="BE22">
        <f t="shared" si="10"/>
        <v>2.8374912332508284</v>
      </c>
      <c r="BF22">
        <f t="shared" si="28"/>
        <v>1.1374925599239223</v>
      </c>
    </row>
    <row r="23" spans="9:58">
      <c r="I23">
        <f t="shared" si="29"/>
        <v>1.6200258991242038</v>
      </c>
      <c r="J23">
        <f t="shared" si="34"/>
        <v>0.92295874853115711</v>
      </c>
      <c r="K23">
        <f t="shared" si="30"/>
        <v>2.9906043645255655E-2</v>
      </c>
      <c r="L23">
        <f t="shared" si="35"/>
        <v>3</v>
      </c>
      <c r="M23">
        <f t="shared" si="31"/>
        <v>1.3417840614548808</v>
      </c>
      <c r="O23">
        <f t="shared" ref="O23:O28" si="40">IF(P23&lt;0,O22+P23+(INT(O22/PI())+1)*PI(),O22+INT(O22/PI())*PI()+P23)</f>
        <v>10.408077926283445</v>
      </c>
      <c r="P23">
        <f t="shared" si="36"/>
        <v>-1.0791463440378639</v>
      </c>
      <c r="Q23">
        <f t="shared" ref="Q23:Q28" si="41">Q22+ATAN(S22/R22*(TAN(Q22)))</f>
        <v>0.98372619267684813</v>
      </c>
      <c r="R23">
        <f t="shared" si="37"/>
        <v>0.96961186092400065</v>
      </c>
      <c r="S23">
        <f t="shared" si="38"/>
        <v>0.96961186092400053</v>
      </c>
      <c r="T23">
        <f t="shared" si="39"/>
        <v>1.4170595252771534E-8</v>
      </c>
      <c r="U23">
        <f t="shared" si="33"/>
        <v>0.96961186092400065</v>
      </c>
      <c r="AA23">
        <v>90</v>
      </c>
      <c r="AC23">
        <v>1</v>
      </c>
      <c r="AD23">
        <f t="shared" si="11"/>
        <v>0.70710678118654757</v>
      </c>
      <c r="AE23">
        <f t="shared" si="12"/>
        <v>0.70710678118654746</v>
      </c>
      <c r="AF23">
        <f t="shared" si="13"/>
        <v>0.85355339059327373</v>
      </c>
      <c r="AG23">
        <f t="shared" si="14"/>
        <v>0.84089641525371461</v>
      </c>
      <c r="AH23">
        <f t="shared" si="15"/>
        <v>0.14644660940672621</v>
      </c>
      <c r="AI23">
        <f t="shared" si="16"/>
        <v>0.84722490292349417</v>
      </c>
      <c r="AJ23">
        <f t="shared" si="17"/>
        <v>0.84720126674689156</v>
      </c>
      <c r="AK23">
        <f t="shared" si="18"/>
        <v>6.3284876697795589E-3</v>
      </c>
      <c r="AL23">
        <f t="shared" si="19"/>
        <v>0.84721308483519286</v>
      </c>
      <c r="AM23">
        <f t="shared" si="20"/>
        <v>0.84721308475276536</v>
      </c>
      <c r="AN23">
        <f t="shared" si="21"/>
        <v>1.1818088301307483E-5</v>
      </c>
      <c r="AO23">
        <f t="shared" si="22"/>
        <v>0.84721308479397917</v>
      </c>
      <c r="AP23">
        <f t="shared" si="23"/>
        <v>0.84721308479397905</v>
      </c>
      <c r="AQ23">
        <f t="shared" si="24"/>
        <v>4.1213754631286292E-11</v>
      </c>
      <c r="AR23">
        <f t="shared" si="25"/>
        <v>0.84721308479397917</v>
      </c>
      <c r="AS23">
        <f t="shared" si="26"/>
        <v>0.84721308479397905</v>
      </c>
      <c r="AT23">
        <f t="shared" si="27"/>
        <v>5.5511151231257827E-17</v>
      </c>
      <c r="AU23">
        <f t="shared" si="0"/>
        <v>0.84721308479397917</v>
      </c>
      <c r="AV23">
        <f t="shared" si="1"/>
        <v>0.84721308479397905</v>
      </c>
      <c r="AW23">
        <f t="shared" si="2"/>
        <v>5.5511151231257827E-17</v>
      </c>
      <c r="AX23">
        <f t="shared" si="3"/>
        <v>0.84721308479397917</v>
      </c>
      <c r="AY23">
        <f t="shared" si="4"/>
        <v>0.84721308479397905</v>
      </c>
      <c r="AZ23">
        <f t="shared" si="5"/>
        <v>5.5511151231257827E-17</v>
      </c>
      <c r="BA23">
        <f t="shared" si="6"/>
        <v>0.84721308479397917</v>
      </c>
      <c r="BB23">
        <f t="shared" si="7"/>
        <v>0.84721308479397905</v>
      </c>
      <c r="BC23">
        <f t="shared" si="8"/>
        <v>5.5511151231257827E-17</v>
      </c>
      <c r="BD23">
        <f t="shared" si="9"/>
        <v>3.3492061019582042</v>
      </c>
      <c r="BE23">
        <f t="shared" si="10"/>
        <v>2.8374912332508284</v>
      </c>
      <c r="BF23">
        <f t="shared" si="28"/>
        <v>1.1803405990160962</v>
      </c>
    </row>
    <row r="24" spans="9:58">
      <c r="I24">
        <f t="shared" si="29"/>
        <v>1.620025899124204</v>
      </c>
      <c r="J24">
        <f t="shared" si="34"/>
        <v>0.92295874853115711</v>
      </c>
      <c r="K24">
        <f t="shared" si="30"/>
        <v>2.9906043645255655E-2</v>
      </c>
      <c r="L24">
        <f t="shared" si="35"/>
        <v>4</v>
      </c>
      <c r="M24">
        <f t="shared" si="31"/>
        <v>1.3417840614548808</v>
      </c>
      <c r="O24">
        <f t="shared" si="40"/>
        <v>20.816155852566887</v>
      </c>
      <c r="P24">
        <f t="shared" si="36"/>
        <v>0.9832999655140654</v>
      </c>
      <c r="Q24">
        <f t="shared" si="41"/>
        <v>1.9674523853536963</v>
      </c>
      <c r="R24">
        <f t="shared" si="37"/>
        <v>0.96961186092400053</v>
      </c>
      <c r="S24">
        <f t="shared" si="38"/>
        <v>0.96961186092400053</v>
      </c>
      <c r="T24">
        <f t="shared" si="39"/>
        <v>5.5511151231257827E-17</v>
      </c>
      <c r="U24">
        <f t="shared" si="33"/>
        <v>0</v>
      </c>
    </row>
    <row r="25" spans="9:58">
      <c r="I25">
        <f t="shared" si="29"/>
        <v>1.620025899124204</v>
      </c>
      <c r="J25">
        <f t="shared" si="34"/>
        <v>0.92295874853115711</v>
      </c>
      <c r="K25">
        <f t="shared" si="30"/>
        <v>2.9906043645255655E-2</v>
      </c>
      <c r="L25">
        <f t="shared" si="35"/>
        <v>5</v>
      </c>
      <c r="M25">
        <f t="shared" si="31"/>
        <v>1.3417840614548808</v>
      </c>
      <c r="O25">
        <f t="shared" si="40"/>
        <v>41.632311705133773</v>
      </c>
      <c r="P25">
        <f t="shared" si="36"/>
        <v>-1.1749927225616661</v>
      </c>
      <c r="Q25">
        <f t="shared" si="41"/>
        <v>0.79331211711759919</v>
      </c>
      <c r="R25">
        <f t="shared" si="37"/>
        <v>0.96961186092400053</v>
      </c>
      <c r="S25">
        <f t="shared" si="38"/>
        <v>0.96961186092400053</v>
      </c>
      <c r="T25">
        <f t="shared" si="39"/>
        <v>0</v>
      </c>
      <c r="U25">
        <f t="shared" si="33"/>
        <v>0</v>
      </c>
    </row>
    <row r="26" spans="9:58">
      <c r="I26">
        <f t="shared" si="29"/>
        <v>1.620025899124204</v>
      </c>
      <c r="J26">
        <f t="shared" si="34"/>
        <v>0.92295874853115711</v>
      </c>
      <c r="K26">
        <f t="shared" si="30"/>
        <v>2.9906043645255655E-2</v>
      </c>
      <c r="L26">
        <f t="shared" si="35"/>
        <v>6</v>
      </c>
      <c r="M26">
        <f t="shared" si="31"/>
        <v>1.3417840614548808</v>
      </c>
      <c r="O26">
        <f t="shared" si="40"/>
        <v>83.264623410267546</v>
      </c>
      <c r="P26">
        <f t="shared" si="36"/>
        <v>0.79160720846646115</v>
      </c>
      <c r="Q26">
        <f t="shared" si="41"/>
        <v>1.5866242342351984</v>
      </c>
      <c r="R26">
        <f t="shared" si="37"/>
        <v>0.96961186092400053</v>
      </c>
      <c r="S26">
        <f t="shared" si="38"/>
        <v>0.96961186092400053</v>
      </c>
      <c r="T26">
        <f t="shared" si="39"/>
        <v>0</v>
      </c>
      <c r="U26">
        <f t="shared" si="33"/>
        <v>0</v>
      </c>
    </row>
    <row r="27" spans="9:58">
      <c r="I27">
        <f t="shared" si="29"/>
        <v>1.620025899124204</v>
      </c>
      <c r="J27">
        <f t="shared" si="34"/>
        <v>0.92295874853115711</v>
      </c>
      <c r="K27">
        <f t="shared" si="30"/>
        <v>2.9906043645255655E-2</v>
      </c>
      <c r="L27">
        <f t="shared" si="35"/>
        <v>7</v>
      </c>
      <c r="M27">
        <f t="shared" si="31"/>
        <v>1.3417840614548808</v>
      </c>
      <c r="O27">
        <f t="shared" si="40"/>
        <v>166.52924682053509</v>
      </c>
      <c r="P27">
        <f t="shared" si="36"/>
        <v>-1.558378236656871</v>
      </c>
      <c r="Q27">
        <f t="shared" si="41"/>
        <v>3.1655814880603428E-2</v>
      </c>
      <c r="R27">
        <f t="shared" si="37"/>
        <v>0.96961186092400053</v>
      </c>
      <c r="S27">
        <f t="shared" si="38"/>
        <v>0.96961186092400053</v>
      </c>
      <c r="T27">
        <f t="shared" si="39"/>
        <v>0</v>
      </c>
      <c r="U27">
        <f t="shared" si="33"/>
        <v>0</v>
      </c>
    </row>
    <row r="28" spans="9:58">
      <c r="I28">
        <f t="shared" si="29"/>
        <v>1.620025899124204</v>
      </c>
      <c r="J28">
        <f t="shared" si="34"/>
        <v>0.92295874853115711</v>
      </c>
      <c r="K28">
        <f t="shared" si="30"/>
        <v>2.9906043645255655E-2</v>
      </c>
      <c r="L28">
        <f t="shared" si="35"/>
        <v>8</v>
      </c>
      <c r="M28">
        <f t="shared" si="31"/>
        <v>1.3417840614548808</v>
      </c>
      <c r="O28">
        <f t="shared" si="40"/>
        <v>333.05849364107019</v>
      </c>
      <c r="P28">
        <f t="shared" si="36"/>
        <v>2.4836180276051223E-2</v>
      </c>
      <c r="Q28">
        <f t="shared" si="41"/>
        <v>6.3311629761206856E-2</v>
      </c>
      <c r="R28">
        <f t="shared" si="37"/>
        <v>0.96961186092400053</v>
      </c>
      <c r="S28">
        <f t="shared" si="38"/>
        <v>0.96961186092400053</v>
      </c>
      <c r="T28">
        <f t="shared" si="39"/>
        <v>0</v>
      </c>
      <c r="U28">
        <f t="shared" si="33"/>
        <v>0.96961186092400053</v>
      </c>
    </row>
    <row r="29" spans="9:58">
      <c r="J29">
        <f t="shared" si="34"/>
        <v>0.92295874853115711</v>
      </c>
      <c r="L29">
        <f t="shared" si="35"/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3"/>
  <dimension ref="M2:V28"/>
  <sheetViews>
    <sheetView topLeftCell="D4" zoomScaleNormal="100" workbookViewId="0">
      <selection activeCell="V28" sqref="V28"/>
    </sheetView>
  </sheetViews>
  <sheetFormatPr defaultRowHeight="15"/>
  <cols>
    <col min="14" max="14" width="10.28515625" bestFit="1" customWidth="1"/>
  </cols>
  <sheetData>
    <row r="2" spans="13:22">
      <c r="M2" t="s">
        <v>142</v>
      </c>
      <c r="N2">
        <f>Calculations!T6</f>
        <v>1.620025899124204</v>
      </c>
    </row>
    <row r="3" spans="13:22">
      <c r="M3" t="s">
        <v>143</v>
      </c>
      <c r="N3">
        <f>Calculations!O6</f>
        <v>0.42261826174069944</v>
      </c>
    </row>
    <row r="4" spans="13:22">
      <c r="M4" t="s">
        <v>144</v>
      </c>
      <c r="N4">
        <f>1-M</f>
        <v>0.5773817382593005</v>
      </c>
    </row>
    <row r="5" spans="13:22">
      <c r="N5" t="s">
        <v>21</v>
      </c>
      <c r="O5" t="s">
        <v>22</v>
      </c>
      <c r="P5" t="s">
        <v>17</v>
      </c>
      <c r="Q5" t="s">
        <v>145</v>
      </c>
      <c r="T5">
        <f>MAX(S6:S23)</f>
        <v>22.701305611363232</v>
      </c>
    </row>
    <row r="6" spans="13:22">
      <c r="M6">
        <v>0</v>
      </c>
      <c r="N6">
        <f>1</f>
        <v>1</v>
      </c>
      <c r="O6">
        <f>SQRT(mm)</f>
        <v>0.7598563931818304</v>
      </c>
      <c r="P6">
        <f>SQRT(M)</f>
        <v>0.65009096420477919</v>
      </c>
      <c r="Q6">
        <f t="shared" ref="Q6:Q17" si="0">2^M6*N6*u</f>
        <v>1.620025899124204</v>
      </c>
      <c r="R6">
        <f t="shared" ref="R6:R9" si="1">IF(ABS(P6)&lt;0.0000000000000001,1,0)</f>
        <v>0</v>
      </c>
      <c r="S6" t="str">
        <f>IF(AND(R6=0,R7=1),Q6,"")</f>
        <v/>
      </c>
      <c r="T6">
        <f>IF(Q6&lt;$T$5,1/2*(T7+ASIN(P7/N7*SIN(T7))),$T$5)</f>
        <v>1.4386719945823934</v>
      </c>
      <c r="U6">
        <f>SIN(T6)</f>
        <v>0.99128427058376367</v>
      </c>
      <c r="V6" s="2" t="s">
        <v>146</v>
      </c>
    </row>
    <row r="7" spans="13:22">
      <c r="M7">
        <f>M6+1</f>
        <v>1</v>
      </c>
      <c r="N7">
        <f>1/2*(N6+O6)</f>
        <v>0.87992819659091515</v>
      </c>
      <c r="O7">
        <f>SQRT(N6*O6)</f>
        <v>0.87169742065801159</v>
      </c>
      <c r="P7">
        <f>1/2*(N6-O6)</f>
        <v>0.1200718034090848</v>
      </c>
      <c r="Q7">
        <f t="shared" si="0"/>
        <v>2.8510129356938734</v>
      </c>
      <c r="R7">
        <f t="shared" si="1"/>
        <v>0</v>
      </c>
      <c r="S7" t="str">
        <f t="shared" ref="S7:S17" si="2">IF(AND(R7=0,R8=1),Q7,"")</f>
        <v/>
      </c>
      <c r="T7">
        <f t="shared" ref="T7" si="3">IF(Q7&lt;$T$5,1/2*(T8+ASIN(P8/N8*SIN(T8))),$T$5)</f>
        <v>2.8363200935129584</v>
      </c>
    </row>
    <row r="8" spans="13:22">
      <c r="M8">
        <f t="shared" ref="M8:M28" si="4">M7+1</f>
        <v>2</v>
      </c>
      <c r="N8">
        <f t="shared" ref="N8:N18" si="5">1/2*(N7+O7)</f>
        <v>0.87581280862446342</v>
      </c>
      <c r="O8">
        <f t="shared" ref="O8:O18" si="6">SQRT(N7*O7)</f>
        <v>0.87580313959962286</v>
      </c>
      <c r="P8">
        <f t="shared" ref="P8:P18" si="7">1/2*(N7-O7)</f>
        <v>4.1153879664517778E-3</v>
      </c>
      <c r="Q8">
        <f t="shared" si="0"/>
        <v>5.6753577310253629</v>
      </c>
      <c r="R8">
        <f t="shared" si="1"/>
        <v>0</v>
      </c>
      <c r="S8" t="str">
        <f t="shared" si="2"/>
        <v/>
      </c>
      <c r="T8">
        <f>IF(Q8&lt;$T$5,1/2*(T9+ASIN(P9/N9*SIN(T9))),$T$5)</f>
        <v>5.6753238149825407</v>
      </c>
    </row>
    <row r="9" spans="13:22">
      <c r="M9">
        <f t="shared" si="4"/>
        <v>3</v>
      </c>
      <c r="N9">
        <f t="shared" si="5"/>
        <v>0.87580797411204314</v>
      </c>
      <c r="O9">
        <f t="shared" si="6"/>
        <v>0.87580797409869982</v>
      </c>
      <c r="P9">
        <f t="shared" si="7"/>
        <v>4.8345124202819889E-6</v>
      </c>
      <c r="Q9">
        <f t="shared" si="0"/>
        <v>11.350652805768082</v>
      </c>
      <c r="R9">
        <f t="shared" si="1"/>
        <v>0</v>
      </c>
      <c r="S9" t="str">
        <f t="shared" si="2"/>
        <v/>
      </c>
      <c r="T9">
        <f>IF(Q9&lt;$T$5,1/2*(T10+ASIN(P10/N10*SIN(T10))),$T$5)</f>
        <v>11.350652805679132</v>
      </c>
    </row>
    <row r="10" spans="13:22">
      <c r="M10">
        <f t="shared" si="4"/>
        <v>4</v>
      </c>
      <c r="N10">
        <f t="shared" si="5"/>
        <v>0.87580797410537148</v>
      </c>
      <c r="O10">
        <f t="shared" si="6"/>
        <v>0.87580797410537148</v>
      </c>
      <c r="P10">
        <f t="shared" si="7"/>
        <v>6.6716632218799532E-12</v>
      </c>
      <c r="Q10">
        <f t="shared" si="0"/>
        <v>22.701305611363232</v>
      </c>
      <c r="R10">
        <f>IF(ABS(P10)&lt;0.0000000000000001,1,0)</f>
        <v>0</v>
      </c>
      <c r="S10">
        <f t="shared" si="2"/>
        <v>22.701305611363232</v>
      </c>
      <c r="T10">
        <f>IF(Q10&lt;$T$5,1/2*(T11+ASIN(P11/N11*SIN(T11))),$T$5)</f>
        <v>22.701305611363232</v>
      </c>
    </row>
    <row r="11" spans="13:22">
      <c r="M11">
        <f t="shared" si="4"/>
        <v>5</v>
      </c>
      <c r="N11">
        <f t="shared" si="5"/>
        <v>0.87580797410537148</v>
      </c>
      <c r="O11">
        <f t="shared" si="6"/>
        <v>0.87580797410537148</v>
      </c>
      <c r="P11">
        <f t="shared" si="7"/>
        <v>0</v>
      </c>
      <c r="Q11">
        <f t="shared" si="0"/>
        <v>45.402611222726463</v>
      </c>
      <c r="R11">
        <f t="shared" ref="R11:R18" si="8">IF(ABS(P11)&lt;0.0000000000000001,1,0)</f>
        <v>1</v>
      </c>
      <c r="S11" t="str">
        <f t="shared" si="2"/>
        <v/>
      </c>
      <c r="T11">
        <f>IF(Q11&lt;$T$5,1/2*(T12+ASIN(P12/N12*SIN(T12))),$T$5)</f>
        <v>22.701305611363232</v>
      </c>
    </row>
    <row r="12" spans="13:22">
      <c r="M12">
        <f t="shared" si="4"/>
        <v>6</v>
      </c>
      <c r="N12">
        <f t="shared" si="5"/>
        <v>0.87580797410537148</v>
      </c>
      <c r="O12">
        <f t="shared" si="6"/>
        <v>0.87580797410537148</v>
      </c>
      <c r="P12">
        <f t="shared" si="7"/>
        <v>0</v>
      </c>
      <c r="Q12">
        <f t="shared" si="0"/>
        <v>90.805222445452927</v>
      </c>
      <c r="R12">
        <f t="shared" si="8"/>
        <v>1</v>
      </c>
      <c r="S12" t="str">
        <f t="shared" si="2"/>
        <v/>
      </c>
      <c r="T12">
        <f t="shared" ref="T12:T17" si="9">IF(Q12&lt;$T$5,1/2*(T13+ASIN(P13/N13*SIN(T13))),$T$5)</f>
        <v>22.701305611363232</v>
      </c>
    </row>
    <row r="13" spans="13:22">
      <c r="M13">
        <f t="shared" si="4"/>
        <v>7</v>
      </c>
      <c r="N13">
        <f t="shared" si="5"/>
        <v>0.87580797410537148</v>
      </c>
      <c r="O13">
        <f t="shared" si="6"/>
        <v>0.87580797410537148</v>
      </c>
      <c r="P13">
        <f t="shared" si="7"/>
        <v>0</v>
      </c>
      <c r="Q13">
        <f t="shared" si="0"/>
        <v>181.61044489090585</v>
      </c>
      <c r="R13">
        <f t="shared" si="8"/>
        <v>1</v>
      </c>
      <c r="S13" t="str">
        <f t="shared" si="2"/>
        <v/>
      </c>
      <c r="T13">
        <f t="shared" si="9"/>
        <v>22.701305611363232</v>
      </c>
    </row>
    <row r="14" spans="13:22">
      <c r="M14">
        <f t="shared" si="4"/>
        <v>8</v>
      </c>
      <c r="N14">
        <f t="shared" si="5"/>
        <v>0.87580797410537148</v>
      </c>
      <c r="O14">
        <f t="shared" si="6"/>
        <v>0.87580797410537148</v>
      </c>
      <c r="P14">
        <f t="shared" si="7"/>
        <v>0</v>
      </c>
      <c r="Q14">
        <f t="shared" si="0"/>
        <v>363.22088978181171</v>
      </c>
      <c r="R14">
        <f t="shared" si="8"/>
        <v>1</v>
      </c>
      <c r="S14" t="str">
        <f t="shared" si="2"/>
        <v/>
      </c>
      <c r="T14">
        <f t="shared" si="9"/>
        <v>22.701305611363232</v>
      </c>
    </row>
    <row r="15" spans="13:22">
      <c r="M15">
        <f t="shared" si="4"/>
        <v>9</v>
      </c>
      <c r="N15">
        <f t="shared" si="5"/>
        <v>0.87580797410537148</v>
      </c>
      <c r="O15">
        <f t="shared" si="6"/>
        <v>0.87580797410537148</v>
      </c>
      <c r="P15">
        <f t="shared" si="7"/>
        <v>0</v>
      </c>
      <c r="Q15">
        <f t="shared" si="0"/>
        <v>726.44177956362341</v>
      </c>
      <c r="R15">
        <f t="shared" si="8"/>
        <v>1</v>
      </c>
      <c r="S15" t="str">
        <f t="shared" si="2"/>
        <v/>
      </c>
      <c r="T15">
        <f t="shared" si="9"/>
        <v>22.701305611363232</v>
      </c>
    </row>
    <row r="16" spans="13:22">
      <c r="M16">
        <f t="shared" si="4"/>
        <v>10</v>
      </c>
      <c r="N16">
        <f t="shared" si="5"/>
        <v>0.87580797410537148</v>
      </c>
      <c r="O16">
        <f t="shared" si="6"/>
        <v>0.87580797410537148</v>
      </c>
      <c r="P16">
        <f t="shared" si="7"/>
        <v>0</v>
      </c>
      <c r="Q16">
        <f t="shared" si="0"/>
        <v>1452.8835591272468</v>
      </c>
      <c r="R16">
        <f t="shared" si="8"/>
        <v>1</v>
      </c>
      <c r="S16" t="str">
        <f t="shared" si="2"/>
        <v/>
      </c>
      <c r="T16">
        <f t="shared" si="9"/>
        <v>22.701305611363232</v>
      </c>
    </row>
    <row r="17" spans="13:20">
      <c r="M17">
        <f t="shared" si="4"/>
        <v>11</v>
      </c>
      <c r="N17">
        <f t="shared" si="5"/>
        <v>0.87580797410537148</v>
      </c>
      <c r="O17">
        <f t="shared" si="6"/>
        <v>0.87580797410537148</v>
      </c>
      <c r="P17">
        <f t="shared" si="7"/>
        <v>0</v>
      </c>
      <c r="Q17">
        <f t="shared" si="0"/>
        <v>2905.7671182544937</v>
      </c>
      <c r="R17">
        <f t="shared" si="8"/>
        <v>1</v>
      </c>
      <c r="S17" t="str">
        <f t="shared" si="2"/>
        <v/>
      </c>
      <c r="T17">
        <f t="shared" si="9"/>
        <v>22.701305611363232</v>
      </c>
    </row>
    <row r="18" spans="13:20">
      <c r="M18">
        <f t="shared" si="4"/>
        <v>12</v>
      </c>
      <c r="N18">
        <f t="shared" si="5"/>
        <v>0.87580797410537148</v>
      </c>
      <c r="O18">
        <f t="shared" si="6"/>
        <v>0.87580797410537148</v>
      </c>
      <c r="P18">
        <f t="shared" si="7"/>
        <v>0</v>
      </c>
      <c r="R18">
        <f t="shared" si="8"/>
        <v>1</v>
      </c>
    </row>
    <row r="19" spans="13:20">
      <c r="M19">
        <f t="shared" si="4"/>
        <v>13</v>
      </c>
    </row>
    <row r="20" spans="13:20">
      <c r="M20">
        <f t="shared" si="4"/>
        <v>14</v>
      </c>
    </row>
    <row r="21" spans="13:20">
      <c r="M21">
        <f t="shared" si="4"/>
        <v>15</v>
      </c>
    </row>
    <row r="22" spans="13:20">
      <c r="M22">
        <f t="shared" si="4"/>
        <v>16</v>
      </c>
    </row>
    <row r="23" spans="13:20">
      <c r="M23">
        <f t="shared" si="4"/>
        <v>17</v>
      </c>
    </row>
    <row r="24" spans="13:20">
      <c r="M24">
        <f t="shared" si="4"/>
        <v>18</v>
      </c>
    </row>
    <row r="25" spans="13:20">
      <c r="M25">
        <f t="shared" si="4"/>
        <v>19</v>
      </c>
    </row>
    <row r="26" spans="13:20">
      <c r="M26">
        <f t="shared" si="4"/>
        <v>20</v>
      </c>
    </row>
    <row r="27" spans="13:20">
      <c r="M27">
        <f t="shared" si="4"/>
        <v>21</v>
      </c>
    </row>
    <row r="28" spans="13:20">
      <c r="M28">
        <f t="shared" si="4"/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Calculations</vt:lpstr>
      <vt:lpstr>landen trasform</vt:lpstr>
      <vt:lpstr>SNC</vt:lpstr>
      <vt:lpstr>AB</vt:lpstr>
      <vt:lpstr>AD</vt:lpstr>
      <vt:lpstr>Aktina</vt:lpstr>
      <vt:lpstr>aktinakamp</vt:lpstr>
      <vt:lpstr>ARXIKI</vt:lpstr>
      <vt:lpstr>arxikiGon</vt:lpstr>
      <vt:lpstr>cyclicPerid</vt:lpstr>
      <vt:lpstr>DGON</vt:lpstr>
      <vt:lpstr>dt</vt:lpstr>
      <vt:lpstr>elaxisto</vt:lpstr>
      <vt:lpstr>g</vt:lpstr>
      <vt:lpstr>GoNiaEF</vt:lpstr>
      <vt:lpstr>GonTax</vt:lpstr>
      <vt:lpstr>Length</vt:lpstr>
      <vt:lpstr>M</vt:lpstr>
      <vt:lpstr>mass</vt:lpstr>
      <vt:lpstr>megistox</vt:lpstr>
      <vt:lpstr>MhkOsN</vt:lpstr>
      <vt:lpstr>mm</vt:lpstr>
      <vt:lpstr>Platoskinishs</vt:lpstr>
      <vt:lpstr>R_KAMP</vt:lpstr>
      <vt:lpstr>Taxtyths</vt:lpstr>
      <vt:lpstr>Tperiod</vt:lpstr>
      <vt:lpstr>u</vt:lpstr>
      <vt:lpstr>vimaex</vt:lpstr>
      <vt:lpstr>xc</vt:lpstr>
      <vt:lpstr>xkathetos</vt:lpstr>
      <vt:lpstr>Yarxiko</vt:lpstr>
      <vt:lpstr>yc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Mihas</dc:creator>
  <cp:lastModifiedBy>Pavlos Michas</cp:lastModifiedBy>
  <cp:lastPrinted>2012-12-07T21:02:31Z</cp:lastPrinted>
  <dcterms:created xsi:type="dcterms:W3CDTF">2012-12-07T20:55:47Z</dcterms:created>
  <dcterms:modified xsi:type="dcterms:W3CDTF">2016-09-01T05:25:04Z</dcterms:modified>
</cp:coreProperties>
</file>